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Questa_cartella_di_lavoro"/>
  <bookViews>
    <workbookView xWindow="0" yWindow="0" windowWidth="15660" windowHeight="8190" tabRatio="768" activeTab="1"/>
  </bookViews>
  <sheets>
    <sheet name="How to use the SGUE tool" sheetId="1" r:id="rId1"/>
    <sheet name="SGUEh water_based HP average" sheetId="5" r:id="rId2"/>
    <sheet name="SGUEh water_based HP colder" sheetId="7" r:id="rId3"/>
    <sheet name="SGUEh water_based HP warmer" sheetId="6" r:id="rId4"/>
    <sheet name="SGUEc_water_based HP" sheetId="8"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8" i="7" l="1"/>
  <c r="A39" i="6"/>
  <c r="A40" i="6"/>
  <c r="A41" i="6"/>
  <c r="A38" i="6"/>
  <c r="A45" i="7"/>
  <c r="A46" i="7"/>
  <c r="A47" i="7"/>
  <c r="A48" i="7"/>
  <c r="A49" i="7"/>
  <c r="A50" i="7"/>
  <c r="A51" i="7"/>
  <c r="A38" i="7"/>
  <c r="A39" i="7"/>
  <c r="A40" i="7"/>
  <c r="A41" i="7"/>
  <c r="A42" i="7"/>
  <c r="A43" i="7"/>
  <c r="A37" i="7"/>
  <c r="C22" i="6"/>
  <c r="C21" i="6"/>
  <c r="C22" i="7"/>
  <c r="B22" i="6"/>
  <c r="B23" i="7"/>
  <c r="C23" i="7" s="1"/>
  <c r="B22" i="5"/>
  <c r="C22" i="5" s="1"/>
  <c r="B22" i="7"/>
  <c r="B21" i="6"/>
  <c r="B21" i="5"/>
  <c r="C21" i="5" s="1"/>
  <c r="R19" i="7"/>
  <c r="L28" i="5"/>
  <c r="A44" i="5" l="1"/>
  <c r="A48" i="5"/>
  <c r="A38" i="5"/>
  <c r="A42" i="5"/>
  <c r="A46" i="5"/>
  <c r="A41" i="5"/>
  <c r="A45" i="5"/>
  <c r="A37" i="5"/>
  <c r="A39" i="5"/>
  <c r="A43" i="5"/>
  <c r="A47" i="5"/>
  <c r="AB8" i="6" l="1"/>
  <c r="M10" i="6"/>
  <c r="AA8" i="6"/>
  <c r="M11" i="6" s="1"/>
  <c r="AA7" i="6"/>
  <c r="AA6" i="6"/>
  <c r="AA17" i="7"/>
  <c r="M12" i="7" s="1"/>
  <c r="AA8" i="7"/>
  <c r="M11" i="7" s="1"/>
  <c r="AA7" i="7"/>
  <c r="AA6" i="7"/>
  <c r="AB7" i="7"/>
  <c r="N10" i="7" s="1"/>
  <c r="AB8" i="5"/>
  <c r="M15" i="7"/>
  <c r="M14" i="7"/>
  <c r="M13" i="7"/>
  <c r="M10" i="7"/>
  <c r="AC8" i="6"/>
  <c r="O11" i="6" s="1"/>
  <c r="AC8" i="7"/>
  <c r="O11" i="7" s="1"/>
  <c r="AC8" i="5"/>
  <c r="AA7" i="5"/>
  <c r="Y6" i="8" l="1"/>
  <c r="W6" i="8"/>
  <c r="W12" i="7" l="1"/>
  <c r="AA12" i="7" s="1"/>
  <c r="W15" i="5"/>
  <c r="AA15" i="5" s="1"/>
  <c r="W14" i="5"/>
  <c r="W13" i="5"/>
  <c r="AA13" i="5" s="1"/>
  <c r="W12" i="5"/>
  <c r="AA12" i="5" s="1"/>
  <c r="W11" i="5"/>
  <c r="AA11" i="5" s="1"/>
  <c r="W15" i="7"/>
  <c r="AA15" i="7" s="1"/>
  <c r="W14" i="7"/>
  <c r="AA14" i="7" s="1"/>
  <c r="W13" i="7"/>
  <c r="AA13" i="7" s="1"/>
  <c r="W11" i="7"/>
  <c r="AA11" i="7" s="1"/>
  <c r="W15" i="6"/>
  <c r="AA15" i="6" s="1"/>
  <c r="W14" i="6"/>
  <c r="AA14" i="6" s="1"/>
  <c r="W12" i="6"/>
  <c r="AA12" i="6" s="1"/>
  <c r="W13" i="6"/>
  <c r="AA13" i="6" s="1"/>
  <c r="W11" i="6"/>
  <c r="AA11" i="6" s="1"/>
  <c r="N11" i="6"/>
  <c r="X8" i="6"/>
  <c r="M14" i="5" l="1"/>
  <c r="AA14" i="5"/>
  <c r="M15" i="5" s="1"/>
  <c r="M14" i="6"/>
  <c r="M15" i="6"/>
  <c r="I31" i="8"/>
  <c r="I30" i="8"/>
  <c r="I29" i="8"/>
  <c r="AC6" i="5" l="1"/>
  <c r="AC6" i="7"/>
  <c r="AC6" i="6"/>
  <c r="X6" i="8" l="1"/>
  <c r="K11" i="8" s="1"/>
  <c r="S6" i="8"/>
  <c r="D61" i="8"/>
  <c r="Y60" i="8"/>
  <c r="W60" i="8"/>
  <c r="U60" i="8"/>
  <c r="Q60" i="8"/>
  <c r="Q59" i="8"/>
  <c r="S59" i="8" s="1"/>
  <c r="Q58" i="8"/>
  <c r="R58" i="8" s="1"/>
  <c r="X57" i="8"/>
  <c r="V57" i="8"/>
  <c r="T57" i="8"/>
  <c r="Q57" i="8"/>
  <c r="Q56" i="8"/>
  <c r="Q55" i="8"/>
  <c r="Q54" i="8"/>
  <c r="Q53" i="8"/>
  <c r="Q52" i="8"/>
  <c r="Q51" i="8"/>
  <c r="Q50" i="8"/>
  <c r="Q49" i="8"/>
  <c r="Q48" i="8"/>
  <c r="Q47" i="8"/>
  <c r="Q46" i="8"/>
  <c r="Q45" i="8"/>
  <c r="Q44" i="8"/>
  <c r="Q43" i="8"/>
  <c r="Q42" i="8"/>
  <c r="Q41" i="8"/>
  <c r="Y40" i="8"/>
  <c r="W40" i="8"/>
  <c r="U40" i="8"/>
  <c r="Q40" i="8"/>
  <c r="X39" i="8"/>
  <c r="V39" i="8"/>
  <c r="T39" i="8"/>
  <c r="Q39" i="8"/>
  <c r="S39" i="8" s="1"/>
  <c r="X38" i="8"/>
  <c r="V38" i="8"/>
  <c r="T38" i="8"/>
  <c r="Q38" i="8"/>
  <c r="C38" i="8"/>
  <c r="C39" i="8" s="1"/>
  <c r="B38" i="8"/>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X37" i="8"/>
  <c r="V37" i="8"/>
  <c r="T37" i="8"/>
  <c r="Q37" i="8"/>
  <c r="E37" i="8"/>
  <c r="Q36" i="8"/>
  <c r="T31" i="8"/>
  <c r="S31" i="8"/>
  <c r="D31" i="8"/>
  <c r="T30" i="8"/>
  <c r="S30" i="8"/>
  <c r="D30" i="8"/>
  <c r="T29" i="8"/>
  <c r="S29" i="8"/>
  <c r="D29" i="8"/>
  <c r="U20" i="8"/>
  <c r="T20" i="8"/>
  <c r="S20" i="8"/>
  <c r="C20" i="8"/>
  <c r="U19" i="8"/>
  <c r="T19" i="8"/>
  <c r="S19" i="8"/>
  <c r="C19" i="8"/>
  <c r="U18" i="8"/>
  <c r="T18" i="8"/>
  <c r="S18" i="8"/>
  <c r="C18" i="8"/>
  <c r="U17" i="8"/>
  <c r="T17" i="8"/>
  <c r="S17" i="8"/>
  <c r="C17" i="8"/>
  <c r="S33" i="8" l="1"/>
  <c r="X29" i="8"/>
  <c r="W29" i="8"/>
  <c r="W17" i="8"/>
  <c r="K12" i="8" s="1"/>
  <c r="E38" i="8"/>
  <c r="S38" i="8"/>
  <c r="W38" i="8" s="1"/>
  <c r="U59" i="8"/>
  <c r="W59" i="8"/>
  <c r="Y59" i="8"/>
  <c r="X58" i="8"/>
  <c r="V58" i="8"/>
  <c r="T58" i="8"/>
  <c r="U39" i="8"/>
  <c r="Y39" i="8"/>
  <c r="W39" i="8"/>
  <c r="C40" i="8"/>
  <c r="E39" i="8"/>
  <c r="S58" i="8"/>
  <c r="R59" i="8"/>
  <c r="AB6" i="6"/>
  <c r="M9" i="6" s="1"/>
  <c r="W6" i="6"/>
  <c r="AB6" i="7"/>
  <c r="M9" i="7" s="1"/>
  <c r="W6" i="7"/>
  <c r="W6" i="5"/>
  <c r="AB6" i="5"/>
  <c r="W30" i="6"/>
  <c r="X30" i="6"/>
  <c r="W31" i="6"/>
  <c r="X31" i="6"/>
  <c r="X29" i="6"/>
  <c r="W29" i="6"/>
  <c r="K13" i="8" l="1"/>
  <c r="U38" i="8"/>
  <c r="F38" i="8"/>
  <c r="J38" i="8" s="1"/>
  <c r="AB29" i="6"/>
  <c r="AA29" i="6"/>
  <c r="E8" i="8"/>
  <c r="F56" i="8"/>
  <c r="J56" i="8" s="1"/>
  <c r="F58" i="8"/>
  <c r="J58" i="8" s="1"/>
  <c r="D19" i="8"/>
  <c r="F37" i="8"/>
  <c r="J37" i="8" s="1"/>
  <c r="F60" i="8"/>
  <c r="J60" i="8" s="1"/>
  <c r="D18" i="8"/>
  <c r="D17" i="8"/>
  <c r="F59" i="8"/>
  <c r="J59" i="8" s="1"/>
  <c r="F57" i="8"/>
  <c r="J57" i="8" s="1"/>
  <c r="S37" i="8"/>
  <c r="U37" i="8" s="1"/>
  <c r="F39" i="8"/>
  <c r="J39" i="8" s="1"/>
  <c r="D20" i="8"/>
  <c r="Y38" i="8"/>
  <c r="E40" i="8"/>
  <c r="F40" i="8" s="1"/>
  <c r="J40" i="8" s="1"/>
  <c r="R40" i="8"/>
  <c r="C41" i="8"/>
  <c r="V59" i="8"/>
  <c r="R60" i="8"/>
  <c r="T59" i="8"/>
  <c r="X59" i="8"/>
  <c r="Y37" i="8"/>
  <c r="W58" i="8"/>
  <c r="U58" i="8"/>
  <c r="Y58" i="8"/>
  <c r="S57" i="8"/>
  <c r="AC7" i="6"/>
  <c r="O10" i="6" s="1"/>
  <c r="Y7" i="6"/>
  <c r="AC7" i="7"/>
  <c r="O10" i="7" s="1"/>
  <c r="Y7" i="7"/>
  <c r="AC7" i="5"/>
  <c r="O10" i="5" s="1"/>
  <c r="Y7" i="5"/>
  <c r="X30" i="7"/>
  <c r="X31" i="7"/>
  <c r="X29" i="7"/>
  <c r="X28" i="5"/>
  <c r="W30" i="7"/>
  <c r="W31" i="7"/>
  <c r="W29" i="7"/>
  <c r="W28" i="5"/>
  <c r="M13" i="6" l="1"/>
  <c r="W37" i="8"/>
  <c r="AB29" i="7"/>
  <c r="AA29" i="7"/>
  <c r="Y57" i="8"/>
  <c r="W57" i="8"/>
  <c r="U57" i="8"/>
  <c r="S56" i="8"/>
  <c r="T60" i="8"/>
  <c r="V60" i="8"/>
  <c r="X60" i="8"/>
  <c r="X40" i="8"/>
  <c r="I40" i="8" s="1"/>
  <c r="V40" i="8"/>
  <c r="H40" i="8" s="1"/>
  <c r="K40" i="8" s="1"/>
  <c r="T40" i="8"/>
  <c r="G40" i="8" s="1"/>
  <c r="R41" i="8"/>
  <c r="E41" i="8"/>
  <c r="F41" i="8" s="1"/>
  <c r="J41" i="8" s="1"/>
  <c r="C42" i="8"/>
  <c r="I31" i="6"/>
  <c r="I30" i="6"/>
  <c r="I29" i="6"/>
  <c r="I31" i="7"/>
  <c r="I30" i="7"/>
  <c r="I29" i="7"/>
  <c r="I31" i="5"/>
  <c r="I30" i="5"/>
  <c r="I29" i="5"/>
  <c r="X30" i="5"/>
  <c r="X29" i="5"/>
  <c r="W30" i="5"/>
  <c r="W29" i="5"/>
  <c r="Y8" i="6"/>
  <c r="V50" i="6"/>
  <c r="V49" i="6"/>
  <c r="V48" i="6"/>
  <c r="V47" i="6"/>
  <c r="W47" i="6" s="1"/>
  <c r="AC47" i="6" s="1"/>
  <c r="V46" i="6"/>
  <c r="V45" i="6"/>
  <c r="V44" i="6"/>
  <c r="Y22" i="6"/>
  <c r="X22" i="6"/>
  <c r="W22" i="6"/>
  <c r="Y21" i="6"/>
  <c r="X21" i="6"/>
  <c r="W21" i="6"/>
  <c r="Y20" i="6"/>
  <c r="X20" i="6"/>
  <c r="W20" i="6"/>
  <c r="Y19" i="6"/>
  <c r="X19" i="6"/>
  <c r="W19" i="6"/>
  <c r="Y18" i="6"/>
  <c r="X18" i="6"/>
  <c r="W18" i="6"/>
  <c r="W8" i="6"/>
  <c r="AB7" i="6"/>
  <c r="N10" i="6" s="1"/>
  <c r="X7" i="6"/>
  <c r="W7" i="6"/>
  <c r="AD50" i="6"/>
  <c r="AB50" i="6"/>
  <c r="Z50" i="6"/>
  <c r="AD49" i="6"/>
  <c r="AC49" i="6"/>
  <c r="AB49" i="6"/>
  <c r="Y49" i="6"/>
  <c r="X49" i="6"/>
  <c r="Z49" i="6" s="1"/>
  <c r="W49" i="6"/>
  <c r="AA49" i="6" s="1"/>
  <c r="AC48" i="6"/>
  <c r="AB48" i="6"/>
  <c r="AA48" i="6"/>
  <c r="Y48" i="6"/>
  <c r="X48" i="6"/>
  <c r="Z48" i="6" s="1"/>
  <c r="AA18" i="6" l="1"/>
  <c r="M12" i="6" s="1"/>
  <c r="AB28" i="5"/>
  <c r="AA28" i="5"/>
  <c r="Y56" i="8"/>
  <c r="U56" i="8"/>
  <c r="W56" i="8"/>
  <c r="C43" i="8"/>
  <c r="E42" i="8"/>
  <c r="F42" i="8" s="1"/>
  <c r="J42" i="8" s="1"/>
  <c r="V41" i="8"/>
  <c r="X41" i="8"/>
  <c r="R42" i="8"/>
  <c r="T41" i="8"/>
  <c r="G37" i="8"/>
  <c r="G38" i="8"/>
  <c r="G39" i="8"/>
  <c r="I39" i="8"/>
  <c r="L39" i="8" s="1"/>
  <c r="I37" i="8"/>
  <c r="L37" i="8" s="1"/>
  <c r="I38" i="8"/>
  <c r="L38" i="8" s="1"/>
  <c r="L40" i="8"/>
  <c r="H39" i="8"/>
  <c r="K39" i="8" s="1"/>
  <c r="H38" i="8"/>
  <c r="K38" i="8" s="1"/>
  <c r="H37" i="8"/>
  <c r="K37" i="8" s="1"/>
  <c r="AD48" i="6"/>
  <c r="X47" i="6"/>
  <c r="W50" i="6"/>
  <c r="AC50" i="6" s="1"/>
  <c r="Y47" i="6"/>
  <c r="Z47" i="6"/>
  <c r="AA47" i="6"/>
  <c r="AD74" i="7"/>
  <c r="AB74" i="7"/>
  <c r="Z74" i="7"/>
  <c r="W74" i="7"/>
  <c r="Y74" i="7" s="1"/>
  <c r="AD73" i="7"/>
  <c r="AC73" i="7"/>
  <c r="AB73" i="7"/>
  <c r="AA73" i="7"/>
  <c r="Z73" i="7"/>
  <c r="Y73" i="7"/>
  <c r="X73" i="7"/>
  <c r="W73" i="7"/>
  <c r="AD72" i="7"/>
  <c r="AC72" i="7"/>
  <c r="AB72" i="7"/>
  <c r="AA72" i="7"/>
  <c r="Y72" i="7"/>
  <c r="X72" i="7"/>
  <c r="Z72" i="7" s="1"/>
  <c r="X71" i="7"/>
  <c r="W71" i="7"/>
  <c r="AD66" i="7"/>
  <c r="X66" i="7"/>
  <c r="AB66" i="7" s="1"/>
  <c r="W66" i="7"/>
  <c r="Z65" i="7"/>
  <c r="X65" i="7"/>
  <c r="AC60" i="7"/>
  <c r="AA60" i="7"/>
  <c r="Y60" i="7"/>
  <c r="Y8" i="7"/>
  <c r="V74" i="7"/>
  <c r="V73" i="7"/>
  <c r="V72" i="7"/>
  <c r="V71" i="7"/>
  <c r="V70" i="7"/>
  <c r="V69" i="7"/>
  <c r="V68" i="7"/>
  <c r="V67" i="7"/>
  <c r="V66" i="7"/>
  <c r="V65" i="7"/>
  <c r="V64" i="7"/>
  <c r="V63" i="7"/>
  <c r="V62" i="7"/>
  <c r="V36" i="7"/>
  <c r="Y23" i="7"/>
  <c r="X23" i="7"/>
  <c r="W23" i="7"/>
  <c r="Y22" i="7"/>
  <c r="X22" i="7"/>
  <c r="W22" i="7"/>
  <c r="Y21" i="7"/>
  <c r="X21" i="7"/>
  <c r="W21" i="7"/>
  <c r="Y20" i="7"/>
  <c r="X20" i="7"/>
  <c r="W20" i="7"/>
  <c r="Y19" i="7"/>
  <c r="X19" i="7"/>
  <c r="W19" i="7"/>
  <c r="Y18" i="7"/>
  <c r="X18" i="7"/>
  <c r="W18" i="7"/>
  <c r="Y17" i="7"/>
  <c r="X17" i="7"/>
  <c r="W17" i="7"/>
  <c r="N11" i="7"/>
  <c r="X8" i="7"/>
  <c r="W8" i="7"/>
  <c r="X7" i="7"/>
  <c r="W7" i="7"/>
  <c r="AD62" i="5"/>
  <c r="AB62" i="5"/>
  <c r="Z62" i="5"/>
  <c r="AC60" i="5"/>
  <c r="AA60" i="5"/>
  <c r="Y60" i="5"/>
  <c r="V62" i="5"/>
  <c r="V61" i="5"/>
  <c r="X61" i="5" s="1"/>
  <c r="V60" i="5"/>
  <c r="V59" i="5"/>
  <c r="W59" i="5" s="1"/>
  <c r="AC59" i="5" s="1"/>
  <c r="V58" i="5"/>
  <c r="V57" i="5"/>
  <c r="V56" i="5"/>
  <c r="V55" i="5"/>
  <c r="V54" i="5"/>
  <c r="X54" i="5" s="1"/>
  <c r="V53" i="5"/>
  <c r="V52" i="5"/>
  <c r="V51" i="5"/>
  <c r="V50" i="5"/>
  <c r="V36" i="5"/>
  <c r="Y22" i="5"/>
  <c r="X22" i="5"/>
  <c r="W22" i="5"/>
  <c r="Y21" i="5"/>
  <c r="X21" i="5"/>
  <c r="W21" i="5"/>
  <c r="Y20" i="5"/>
  <c r="X20" i="5"/>
  <c r="W20" i="5"/>
  <c r="Y19" i="5"/>
  <c r="X19" i="5"/>
  <c r="W19" i="5"/>
  <c r="Y18" i="5"/>
  <c r="X18" i="5"/>
  <c r="W18" i="5"/>
  <c r="Y17" i="5"/>
  <c r="X17" i="5"/>
  <c r="W17" i="5"/>
  <c r="O11" i="5"/>
  <c r="N11" i="5"/>
  <c r="AB7" i="5"/>
  <c r="N10" i="5" s="1"/>
  <c r="AA8" i="5"/>
  <c r="M11" i="5" s="1"/>
  <c r="M10" i="5"/>
  <c r="AA6" i="5"/>
  <c r="M9" i="5" s="1"/>
  <c r="Y8" i="5"/>
  <c r="X8" i="5"/>
  <c r="X7" i="5"/>
  <c r="W8" i="5"/>
  <c r="W7" i="5"/>
  <c r="W33" i="6"/>
  <c r="R19" i="6" l="1"/>
  <c r="N41" i="6"/>
  <c r="N45" i="6"/>
  <c r="N49" i="6"/>
  <c r="M19" i="6"/>
  <c r="N38" i="6"/>
  <c r="N42" i="6"/>
  <c r="N46" i="6"/>
  <c r="N50" i="6"/>
  <c r="N39" i="6"/>
  <c r="N43" i="6"/>
  <c r="N47" i="6"/>
  <c r="N37" i="6"/>
  <c r="N40" i="6"/>
  <c r="N44" i="6"/>
  <c r="N48" i="6"/>
  <c r="Q19" i="6"/>
  <c r="W32" i="5"/>
  <c r="M13" i="5"/>
  <c r="AA17" i="5"/>
  <c r="M12" i="5" s="1"/>
  <c r="X53" i="5"/>
  <c r="AD53" i="5" s="1"/>
  <c r="W54" i="5"/>
  <c r="AA54" i="5" s="1"/>
  <c r="X59" i="5"/>
  <c r="X58" i="5" s="1"/>
  <c r="AB58" i="5" s="1"/>
  <c r="AB54" i="5"/>
  <c r="AD54" i="5"/>
  <c r="AD61" i="5"/>
  <c r="Z61" i="5"/>
  <c r="AD59" i="5"/>
  <c r="W61" i="5"/>
  <c r="E43" i="8"/>
  <c r="F43" i="8" s="1"/>
  <c r="J43" i="8" s="1"/>
  <c r="C44" i="8"/>
  <c r="T42" i="8"/>
  <c r="X42" i="8"/>
  <c r="V42" i="8"/>
  <c r="R43" i="8"/>
  <c r="W33" i="7"/>
  <c r="I50" i="6"/>
  <c r="G48" i="6"/>
  <c r="H48" i="6"/>
  <c r="I47" i="6"/>
  <c r="H47" i="6"/>
  <c r="G49" i="6"/>
  <c r="I49" i="6"/>
  <c r="G47" i="6"/>
  <c r="I48" i="6"/>
  <c r="H49" i="6"/>
  <c r="J50" i="6"/>
  <c r="L50" i="6" s="1"/>
  <c r="F46" i="6"/>
  <c r="J42" i="6"/>
  <c r="L42" i="6" s="1"/>
  <c r="F38" i="6"/>
  <c r="K38" i="6" s="1"/>
  <c r="D19" i="6"/>
  <c r="F49" i="6"/>
  <c r="K49" i="6" s="1"/>
  <c r="J45" i="6"/>
  <c r="L45" i="6" s="1"/>
  <c r="F41" i="6"/>
  <c r="K41" i="6" s="1"/>
  <c r="J48" i="6"/>
  <c r="L48" i="6" s="1"/>
  <c r="F44" i="6"/>
  <c r="F47" i="6"/>
  <c r="K47" i="6" s="1"/>
  <c r="J43" i="6"/>
  <c r="L43" i="6" s="1"/>
  <c r="F39" i="6"/>
  <c r="F43" i="6"/>
  <c r="K43" i="6" s="1"/>
  <c r="F50" i="6"/>
  <c r="K50" i="6" s="1"/>
  <c r="J46" i="6"/>
  <c r="L46" i="6" s="1"/>
  <c r="F42" i="6"/>
  <c r="D20" i="6"/>
  <c r="D18" i="6"/>
  <c r="J47" i="6"/>
  <c r="L47" i="6" s="1"/>
  <c r="J49" i="6"/>
  <c r="F45" i="6"/>
  <c r="K45" i="6" s="1"/>
  <c r="F37" i="6"/>
  <c r="F48" i="6"/>
  <c r="J44" i="6"/>
  <c r="L44" i="6" s="1"/>
  <c r="F40" i="6"/>
  <c r="K40" i="6" s="1"/>
  <c r="X46" i="6"/>
  <c r="AD47" i="6"/>
  <c r="AA50" i="6"/>
  <c r="H50" i="6" s="1"/>
  <c r="Y50" i="6"/>
  <c r="G50" i="6" s="1"/>
  <c r="AB47" i="6"/>
  <c r="X70" i="7"/>
  <c r="AB71" i="7"/>
  <c r="Z71" i="7"/>
  <c r="AD71" i="7"/>
  <c r="Y66" i="7"/>
  <c r="AA66" i="7"/>
  <c r="W67" i="7"/>
  <c r="AC66" i="7"/>
  <c r="AD65" i="7"/>
  <c r="X64" i="7"/>
  <c r="AB65" i="7"/>
  <c r="AC74" i="7"/>
  <c r="AA74" i="7"/>
  <c r="AC71" i="7"/>
  <c r="Y71" i="7"/>
  <c r="AA71" i="7"/>
  <c r="Z66" i="7"/>
  <c r="AD58" i="5"/>
  <c r="X57" i="5"/>
  <c r="Y59" i="5"/>
  <c r="AB61" i="5"/>
  <c r="Z59" i="5"/>
  <c r="X60" i="5"/>
  <c r="Z54" i="5"/>
  <c r="AA59" i="5"/>
  <c r="AB59" i="5"/>
  <c r="Z58" i="5" l="1"/>
  <c r="AC54" i="5"/>
  <c r="N40" i="7"/>
  <c r="N44" i="7"/>
  <c r="N48" i="7"/>
  <c r="N52" i="7"/>
  <c r="N56" i="7"/>
  <c r="N60" i="7"/>
  <c r="N64" i="7"/>
  <c r="N68" i="7"/>
  <c r="N72" i="7"/>
  <c r="N38" i="7"/>
  <c r="N50" i="7"/>
  <c r="N58" i="7"/>
  <c r="N66" i="7"/>
  <c r="N74" i="7"/>
  <c r="N43" i="7"/>
  <c r="N51" i="7"/>
  <c r="N59" i="7"/>
  <c r="N67" i="7"/>
  <c r="N37" i="7"/>
  <c r="N41" i="7"/>
  <c r="N45" i="7"/>
  <c r="N49" i="7"/>
  <c r="N53" i="7"/>
  <c r="N57" i="7"/>
  <c r="N61" i="7"/>
  <c r="N65" i="7"/>
  <c r="N69" i="7"/>
  <c r="N73" i="7"/>
  <c r="Q19" i="7"/>
  <c r="N42" i="7"/>
  <c r="N46" i="7"/>
  <c r="N54" i="7"/>
  <c r="N62" i="7"/>
  <c r="N70" i="7"/>
  <c r="N39" i="7"/>
  <c r="N47" i="7"/>
  <c r="N55" i="7"/>
  <c r="N63" i="7"/>
  <c r="N71" i="7"/>
  <c r="M19" i="7"/>
  <c r="E10" i="5"/>
  <c r="W55" i="5"/>
  <c r="Y55" i="5" s="1"/>
  <c r="Y54" i="5"/>
  <c r="G54" i="5" s="1"/>
  <c r="Z53" i="5"/>
  <c r="X52" i="5"/>
  <c r="AD52" i="5" s="1"/>
  <c r="AB53" i="5"/>
  <c r="AC61" i="5"/>
  <c r="I61" i="5" s="1"/>
  <c r="Y61" i="5"/>
  <c r="AA61" i="5"/>
  <c r="H61" i="5" s="1"/>
  <c r="W62" i="5"/>
  <c r="D22" i="7"/>
  <c r="I72" i="7"/>
  <c r="E10" i="7"/>
  <c r="F44" i="7"/>
  <c r="J48" i="7"/>
  <c r="L48" i="7" s="1"/>
  <c r="F64" i="7"/>
  <c r="K64" i="7" s="1"/>
  <c r="J69" i="7"/>
  <c r="L69" i="7" s="1"/>
  <c r="F73" i="7"/>
  <c r="K73" i="7" s="1"/>
  <c r="G73" i="7"/>
  <c r="D21" i="7"/>
  <c r="F70" i="7"/>
  <c r="K70" i="7" s="1"/>
  <c r="F56" i="7"/>
  <c r="J62" i="7"/>
  <c r="L62" i="7" s="1"/>
  <c r="J65" i="7"/>
  <c r="L65" i="7" s="1"/>
  <c r="J51" i="7"/>
  <c r="L51" i="7" s="1"/>
  <c r="J73" i="7"/>
  <c r="O73" i="7" s="1"/>
  <c r="J59" i="7"/>
  <c r="L59" i="7" s="1"/>
  <c r="D18" i="7"/>
  <c r="G74" i="7"/>
  <c r="J47" i="7"/>
  <c r="L47" i="7" s="1"/>
  <c r="F42" i="7"/>
  <c r="K42" i="7" s="1"/>
  <c r="F37" i="7"/>
  <c r="K37" i="7" s="1"/>
  <c r="F66" i="7"/>
  <c r="K66" i="7" s="1"/>
  <c r="F41" i="7"/>
  <c r="K41" i="7" s="1"/>
  <c r="F74" i="7"/>
  <c r="K74" i="7" s="1"/>
  <c r="F69" i="7"/>
  <c r="K69" i="7" s="1"/>
  <c r="D19" i="7"/>
  <c r="F63" i="7"/>
  <c r="F62" i="7"/>
  <c r="K62" i="7" s="1"/>
  <c r="X43" i="8"/>
  <c r="V43" i="8"/>
  <c r="R44" i="8"/>
  <c r="T43" i="8"/>
  <c r="C45" i="8"/>
  <c r="E44" i="8"/>
  <c r="F44" i="8" s="1"/>
  <c r="J44" i="8" s="1"/>
  <c r="J71" i="7"/>
  <c r="L71" i="7" s="1"/>
  <c r="F45" i="7"/>
  <c r="K45" i="7" s="1"/>
  <c r="F51" i="7"/>
  <c r="J46" i="7"/>
  <c r="L46" i="7" s="1"/>
  <c r="F59" i="7"/>
  <c r="K59" i="7" s="1"/>
  <c r="J67" i="7"/>
  <c r="L67" i="7" s="1"/>
  <c r="F52" i="7"/>
  <c r="K52" i="7" s="1"/>
  <c r="J45" i="7"/>
  <c r="L45" i="7" s="1"/>
  <c r="D20" i="7"/>
  <c r="H74" i="7"/>
  <c r="J55" i="7"/>
  <c r="L55" i="7" s="1"/>
  <c r="J56" i="7"/>
  <c r="L56" i="7" s="1"/>
  <c r="I74" i="7"/>
  <c r="H66" i="7"/>
  <c r="F43" i="7"/>
  <c r="K43" i="7" s="1"/>
  <c r="H73" i="7"/>
  <c r="J49" i="7"/>
  <c r="L49" i="7" s="1"/>
  <c r="F50" i="7"/>
  <c r="K50" i="7" s="1"/>
  <c r="F67" i="7"/>
  <c r="F71" i="7"/>
  <c r="K71" i="7" s="1"/>
  <c r="F49" i="7"/>
  <c r="K49" i="7" s="1"/>
  <c r="F46" i="7"/>
  <c r="K46" i="7" s="1"/>
  <c r="J60" i="7"/>
  <c r="L60" i="7" s="1"/>
  <c r="J54" i="7"/>
  <c r="L54" i="7" s="1"/>
  <c r="F48" i="7"/>
  <c r="K48" i="7" s="1"/>
  <c r="F40" i="7"/>
  <c r="K40" i="7" s="1"/>
  <c r="F60" i="7"/>
  <c r="K60" i="7" s="1"/>
  <c r="J53" i="7"/>
  <c r="L53" i="7" s="1"/>
  <c r="J50" i="7"/>
  <c r="L50" i="7" s="1"/>
  <c r="G71" i="7"/>
  <c r="G72" i="7"/>
  <c r="G66" i="7"/>
  <c r="H71" i="7"/>
  <c r="F53" i="7"/>
  <c r="K53" i="7" s="1"/>
  <c r="J57" i="7"/>
  <c r="L57" i="7" s="1"/>
  <c r="F72" i="7"/>
  <c r="K72" i="7" s="1"/>
  <c r="F39" i="7"/>
  <c r="K39" i="7" s="1"/>
  <c r="J44" i="7"/>
  <c r="L44" i="7" s="1"/>
  <c r="J64" i="7"/>
  <c r="L64" i="7" s="1"/>
  <c r="J61" i="7"/>
  <c r="L61" i="7" s="1"/>
  <c r="F54" i="7"/>
  <c r="K54" i="7" s="1"/>
  <c r="I71" i="7"/>
  <c r="I66" i="7"/>
  <c r="F61" i="7"/>
  <c r="K61" i="7" s="1"/>
  <c r="D17" i="7"/>
  <c r="F58" i="7"/>
  <c r="K58" i="7" s="1"/>
  <c r="F47" i="7"/>
  <c r="J52" i="7"/>
  <c r="O52" i="7" s="1"/>
  <c r="J72" i="7"/>
  <c r="L72" i="7" s="1"/>
  <c r="F65" i="7"/>
  <c r="K65" i="7" s="1"/>
  <c r="J58" i="7"/>
  <c r="L58" i="7" s="1"/>
  <c r="H72" i="7"/>
  <c r="J63" i="7"/>
  <c r="L63" i="7" s="1"/>
  <c r="J66" i="7"/>
  <c r="L66" i="7" s="1"/>
  <c r="I73" i="7"/>
  <c r="J70" i="7"/>
  <c r="L70" i="7" s="1"/>
  <c r="F55" i="7"/>
  <c r="K55" i="7" s="1"/>
  <c r="J68" i="7"/>
  <c r="L68" i="7" s="1"/>
  <c r="F68" i="7"/>
  <c r="K68" i="7" s="1"/>
  <c r="F57" i="7"/>
  <c r="K57" i="7" s="1"/>
  <c r="F38" i="7"/>
  <c r="K38" i="7" s="1"/>
  <c r="J74" i="7"/>
  <c r="L74" i="7" s="1"/>
  <c r="P49" i="6"/>
  <c r="O46" i="6"/>
  <c r="O45" i="6"/>
  <c r="L49" i="6"/>
  <c r="Q48" i="6"/>
  <c r="K42" i="6"/>
  <c r="Q50" i="6"/>
  <c r="G61" i="5"/>
  <c r="I54" i="5"/>
  <c r="I59" i="5"/>
  <c r="H54" i="5"/>
  <c r="H59" i="5"/>
  <c r="G59" i="5"/>
  <c r="O43" i="6"/>
  <c r="P48" i="6"/>
  <c r="K46" i="6"/>
  <c r="Q47" i="6"/>
  <c r="O48" i="6"/>
  <c r="Q49" i="6"/>
  <c r="O49" i="6"/>
  <c r="AD46" i="6"/>
  <c r="X45" i="6"/>
  <c r="AB46" i="6"/>
  <c r="Z46" i="6"/>
  <c r="P47" i="6"/>
  <c r="O42" i="6"/>
  <c r="O47" i="6"/>
  <c r="K48" i="6"/>
  <c r="K37" i="6"/>
  <c r="K44" i="6"/>
  <c r="O44" i="6"/>
  <c r="K39" i="6"/>
  <c r="O50" i="6"/>
  <c r="P50" i="6"/>
  <c r="Y67" i="7"/>
  <c r="AC67" i="7"/>
  <c r="W68" i="7"/>
  <c r="AA67" i="7"/>
  <c r="AB70" i="7"/>
  <c r="AD70" i="7"/>
  <c r="X69" i="7"/>
  <c r="Z70" i="7"/>
  <c r="Z64" i="7"/>
  <c r="AD64" i="7"/>
  <c r="X63" i="7"/>
  <c r="AB64" i="7"/>
  <c r="K63" i="7"/>
  <c r="K44" i="7"/>
  <c r="K51" i="7"/>
  <c r="K67" i="7"/>
  <c r="K56" i="7"/>
  <c r="Z52" i="5"/>
  <c r="AB52" i="5"/>
  <c r="AB57" i="5"/>
  <c r="Z57" i="5"/>
  <c r="X56" i="5"/>
  <c r="AD57" i="5"/>
  <c r="AB60" i="5"/>
  <c r="Z60" i="5"/>
  <c r="G60" i="5" s="1"/>
  <c r="AD60" i="5"/>
  <c r="I60" i="5" s="1"/>
  <c r="J62" i="5"/>
  <c r="L62" i="5" s="1"/>
  <c r="F58" i="5"/>
  <c r="K58" i="5" s="1"/>
  <c r="J54" i="5"/>
  <c r="L54" i="5" s="1"/>
  <c r="F50" i="5"/>
  <c r="K50" i="5" s="1"/>
  <c r="F42" i="5"/>
  <c r="K42" i="5" s="1"/>
  <c r="F61" i="5"/>
  <c r="J57" i="5"/>
  <c r="L57" i="5" s="1"/>
  <c r="F53" i="5"/>
  <c r="K53" i="5" s="1"/>
  <c r="J49" i="5"/>
  <c r="L49" i="5" s="1"/>
  <c r="F45" i="5"/>
  <c r="K45" i="5" s="1"/>
  <c r="F37" i="5"/>
  <c r="K37" i="5" s="1"/>
  <c r="D20" i="5"/>
  <c r="D18" i="5"/>
  <c r="J60" i="5"/>
  <c r="L60" i="5" s="1"/>
  <c r="F56" i="5"/>
  <c r="K56" i="5" s="1"/>
  <c r="J52" i="5"/>
  <c r="L52" i="5" s="1"/>
  <c r="F48" i="5"/>
  <c r="K48" i="5" s="1"/>
  <c r="F40" i="5"/>
  <c r="K40" i="5" s="1"/>
  <c r="F59" i="5"/>
  <c r="K59" i="5" s="1"/>
  <c r="J55" i="5"/>
  <c r="L55" i="5" s="1"/>
  <c r="F51" i="5"/>
  <c r="K51" i="5" s="1"/>
  <c r="F43" i="5"/>
  <c r="K43" i="5" s="1"/>
  <c r="F47" i="5"/>
  <c r="F39" i="5"/>
  <c r="K39" i="5" s="1"/>
  <c r="F62" i="5"/>
  <c r="K62" i="5" s="1"/>
  <c r="J58" i="5"/>
  <c r="F54" i="5"/>
  <c r="K54" i="5" s="1"/>
  <c r="J50" i="5"/>
  <c r="L50" i="5" s="1"/>
  <c r="F46" i="5"/>
  <c r="K46" i="5" s="1"/>
  <c r="F38" i="5"/>
  <c r="J59" i="5"/>
  <c r="L59" i="5" s="1"/>
  <c r="J61" i="5"/>
  <c r="F57" i="5"/>
  <c r="J53" i="5"/>
  <c r="L53" i="5" s="1"/>
  <c r="F49" i="5"/>
  <c r="F41" i="5"/>
  <c r="D19" i="5"/>
  <c r="D17" i="5"/>
  <c r="F55" i="5"/>
  <c r="K55" i="5" s="1"/>
  <c r="F60" i="5"/>
  <c r="K60" i="5" s="1"/>
  <c r="N60" i="5" s="1"/>
  <c r="J56" i="5"/>
  <c r="L56" i="5" s="1"/>
  <c r="F52" i="5"/>
  <c r="J48" i="5"/>
  <c r="L48" i="5" s="1"/>
  <c r="F44" i="5"/>
  <c r="K44" i="5" s="1"/>
  <c r="J51" i="5"/>
  <c r="L51" i="5" s="1"/>
  <c r="V47" i="5"/>
  <c r="N59" i="5" l="1"/>
  <c r="N54" i="5"/>
  <c r="X51" i="5"/>
  <c r="AA55" i="5"/>
  <c r="AC55" i="5"/>
  <c r="W56" i="5"/>
  <c r="W57" i="5" s="1"/>
  <c r="AA62" i="5"/>
  <c r="H62" i="5" s="1"/>
  <c r="Y62" i="5"/>
  <c r="G62" i="5" s="1"/>
  <c r="AC62" i="5"/>
  <c r="I62" i="5" s="1"/>
  <c r="N62" i="5" s="1"/>
  <c r="O69" i="7"/>
  <c r="L73" i="7"/>
  <c r="O62" i="7"/>
  <c r="O47" i="7"/>
  <c r="V41" i="6"/>
  <c r="A42" i="6"/>
  <c r="V42" i="6" s="1"/>
  <c r="X42" i="6" s="1"/>
  <c r="A37" i="6"/>
  <c r="V37" i="6" s="1"/>
  <c r="X37" i="6" s="1"/>
  <c r="O65" i="7"/>
  <c r="P73" i="7"/>
  <c r="O59" i="7"/>
  <c r="O56" i="7"/>
  <c r="O51" i="7"/>
  <c r="C46" i="8"/>
  <c r="E45" i="8"/>
  <c r="F45" i="8" s="1"/>
  <c r="J45" i="8" s="1"/>
  <c r="R45" i="8"/>
  <c r="S45" i="8"/>
  <c r="V44" i="8"/>
  <c r="X44" i="8"/>
  <c r="T44" i="8"/>
  <c r="O53" i="7"/>
  <c r="O44" i="7"/>
  <c r="O61" i="7"/>
  <c r="O67" i="7"/>
  <c r="Q71" i="7"/>
  <c r="O46" i="7"/>
  <c r="O57" i="7"/>
  <c r="O71" i="7"/>
  <c r="O68" i="7"/>
  <c r="P71" i="7"/>
  <c r="O72" i="7"/>
  <c r="Q72" i="7"/>
  <c r="P72" i="7"/>
  <c r="L52" i="7"/>
  <c r="O55" i="7"/>
  <c r="O70" i="7"/>
  <c r="O50" i="7"/>
  <c r="O49" i="7"/>
  <c r="O48" i="7"/>
  <c r="Q73" i="7"/>
  <c r="O54" i="7"/>
  <c r="O58" i="7"/>
  <c r="K47" i="7"/>
  <c r="O66" i="7"/>
  <c r="O63" i="7"/>
  <c r="O64" i="7"/>
  <c r="O74" i="7"/>
  <c r="O60" i="7"/>
  <c r="O45" i="7"/>
  <c r="P61" i="5"/>
  <c r="O61" i="5"/>
  <c r="K61" i="5"/>
  <c r="O62" i="5"/>
  <c r="O55" i="5"/>
  <c r="H60" i="5"/>
  <c r="P60" i="5" s="1"/>
  <c r="Z45" i="6"/>
  <c r="X44" i="6"/>
  <c r="AD45" i="6"/>
  <c r="AB45" i="6"/>
  <c r="Z69" i="7"/>
  <c r="X68" i="7"/>
  <c r="AB69" i="7"/>
  <c r="AD69" i="7"/>
  <c r="X62" i="7"/>
  <c r="AB63" i="7"/>
  <c r="Z63" i="7"/>
  <c r="AD63" i="7"/>
  <c r="AA68" i="7"/>
  <c r="AC68" i="7"/>
  <c r="W69" i="7"/>
  <c r="Y68" i="7"/>
  <c r="Q66" i="7"/>
  <c r="P66" i="7"/>
  <c r="O53" i="5"/>
  <c r="O60" i="5"/>
  <c r="AD56" i="5"/>
  <c r="X55" i="5"/>
  <c r="AB56" i="5"/>
  <c r="Z56" i="5"/>
  <c r="X50" i="5"/>
  <c r="AB51" i="5"/>
  <c r="AD51" i="5"/>
  <c r="Z51" i="5"/>
  <c r="O58" i="5"/>
  <c r="AC56" i="5"/>
  <c r="Q61" i="5"/>
  <c r="Q54" i="5"/>
  <c r="O57" i="5"/>
  <c r="O54" i="5"/>
  <c r="O51" i="5"/>
  <c r="O56" i="5"/>
  <c r="Q60" i="5"/>
  <c r="K47" i="5"/>
  <c r="K52" i="5"/>
  <c r="L61" i="5"/>
  <c r="L58" i="5"/>
  <c r="Q59" i="5"/>
  <c r="K41" i="5"/>
  <c r="K57" i="5"/>
  <c r="O49" i="5"/>
  <c r="P54" i="5"/>
  <c r="O59" i="5"/>
  <c r="O48" i="5"/>
  <c r="P59" i="5"/>
  <c r="K49" i="5"/>
  <c r="O52" i="5"/>
  <c r="K38" i="5"/>
  <c r="O50" i="5"/>
  <c r="V58" i="7"/>
  <c r="A44" i="7"/>
  <c r="V44" i="7" s="1"/>
  <c r="V48" i="7"/>
  <c r="V46" i="7"/>
  <c r="V47" i="7"/>
  <c r="V57" i="7"/>
  <c r="V56" i="7"/>
  <c r="V55" i="7"/>
  <c r="V41" i="7"/>
  <c r="V42" i="7"/>
  <c r="V40" i="7"/>
  <c r="V39" i="7"/>
  <c r="A52" i="7"/>
  <c r="V52" i="7" s="1"/>
  <c r="V54" i="7"/>
  <c r="V45" i="7"/>
  <c r="V53" i="7"/>
  <c r="V61" i="7"/>
  <c r="V37" i="7"/>
  <c r="V51" i="7"/>
  <c r="V60" i="7"/>
  <c r="V38" i="7"/>
  <c r="V50" i="7"/>
  <c r="V59" i="7"/>
  <c r="V43" i="7"/>
  <c r="V49" i="7"/>
  <c r="V39" i="6"/>
  <c r="V40" i="6"/>
  <c r="V43" i="6"/>
  <c r="V38" i="6"/>
  <c r="V42" i="5"/>
  <c r="V43" i="5"/>
  <c r="V44" i="5"/>
  <c r="V45" i="5"/>
  <c r="V46" i="5"/>
  <c r="V37" i="5"/>
  <c r="V38" i="5"/>
  <c r="A49" i="5"/>
  <c r="V49" i="5" s="1"/>
  <c r="V48" i="5"/>
  <c r="A40" i="5"/>
  <c r="V40" i="5" s="1"/>
  <c r="V41" i="5"/>
  <c r="Q62" i="5" l="1"/>
  <c r="AA56" i="5"/>
  <c r="Y56" i="5"/>
  <c r="G56" i="5" s="1"/>
  <c r="P62" i="5"/>
  <c r="N61" i="5"/>
  <c r="X41" i="6"/>
  <c r="AB41" i="6" s="1"/>
  <c r="W42" i="6"/>
  <c r="W43" i="6" s="1"/>
  <c r="W37" i="6"/>
  <c r="W38" i="6" s="1"/>
  <c r="W39" i="6" s="1"/>
  <c r="Y45" i="8"/>
  <c r="W45" i="8"/>
  <c r="U45" i="8"/>
  <c r="S44" i="8"/>
  <c r="T45" i="8"/>
  <c r="G45" i="8" s="1"/>
  <c r="X45" i="8"/>
  <c r="I45" i="8" s="1"/>
  <c r="L45" i="8" s="1"/>
  <c r="V45" i="8"/>
  <c r="H45" i="8" s="1"/>
  <c r="K45" i="8" s="1"/>
  <c r="R46" i="8"/>
  <c r="C47" i="8"/>
  <c r="E46" i="8"/>
  <c r="F46" i="8" s="1"/>
  <c r="J46" i="8" s="1"/>
  <c r="AD41" i="6"/>
  <c r="Z41" i="6"/>
  <c r="Z37" i="6"/>
  <c r="AB37" i="6"/>
  <c r="AD37" i="6"/>
  <c r="AB42" i="6"/>
  <c r="AD42" i="6"/>
  <c r="Z42" i="6"/>
  <c r="W37" i="7"/>
  <c r="X44" i="7"/>
  <c r="X43" i="7" s="1"/>
  <c r="W44" i="7"/>
  <c r="W45" i="7" s="1"/>
  <c r="W46" i="7" s="1"/>
  <c r="X61" i="7"/>
  <c r="W61" i="7"/>
  <c r="W52" i="7"/>
  <c r="X52" i="7"/>
  <c r="W40" i="5"/>
  <c r="X40" i="5"/>
  <c r="W37" i="5"/>
  <c r="W38" i="5" s="1"/>
  <c r="X49" i="5"/>
  <c r="X48" i="5" s="1"/>
  <c r="X47" i="5" s="1"/>
  <c r="X46" i="5" s="1"/>
  <c r="X45" i="5" s="1"/>
  <c r="X44" i="5" s="1"/>
  <c r="W49" i="5"/>
  <c r="H56" i="5"/>
  <c r="I56" i="5"/>
  <c r="N56" i="5" s="1"/>
  <c r="AD44" i="6"/>
  <c r="X43" i="6"/>
  <c r="AB44" i="6"/>
  <c r="Z44" i="6"/>
  <c r="AB62" i="7"/>
  <c r="AD62" i="7"/>
  <c r="Z62" i="7"/>
  <c r="AA69" i="7"/>
  <c r="H69" i="7" s="1"/>
  <c r="W70" i="7"/>
  <c r="Y69" i="7"/>
  <c r="G69" i="7" s="1"/>
  <c r="AC69" i="7"/>
  <c r="I69" i="7" s="1"/>
  <c r="AD68" i="7"/>
  <c r="I68" i="7" s="1"/>
  <c r="X67" i="7"/>
  <c r="AB68" i="7"/>
  <c r="H68" i="7" s="1"/>
  <c r="Z68" i="7"/>
  <c r="G68" i="7" s="1"/>
  <c r="Q74" i="7"/>
  <c r="P74" i="7"/>
  <c r="AD55" i="5"/>
  <c r="I55" i="5" s="1"/>
  <c r="N55" i="5" s="1"/>
  <c r="AB55" i="5"/>
  <c r="H55" i="5" s="1"/>
  <c r="Z55" i="5"/>
  <c r="G55" i="5" s="1"/>
  <c r="AA57" i="5"/>
  <c r="H57" i="5" s="1"/>
  <c r="W58" i="5"/>
  <c r="Y57" i="5"/>
  <c r="G57" i="5" s="1"/>
  <c r="AC57" i="5"/>
  <c r="I57" i="5" s="1"/>
  <c r="N57" i="5" s="1"/>
  <c r="Z50" i="5"/>
  <c r="AD50" i="5"/>
  <c r="AB50" i="5"/>
  <c r="E38" i="5"/>
  <c r="V39" i="5"/>
  <c r="E39" i="5"/>
  <c r="E40" i="5"/>
  <c r="E41" i="5"/>
  <c r="E42" i="5"/>
  <c r="E43" i="5"/>
  <c r="E44" i="5"/>
  <c r="E45" i="5"/>
  <c r="E46" i="5"/>
  <c r="E47" i="5"/>
  <c r="E48" i="5"/>
  <c r="E49" i="5"/>
  <c r="E50" i="5"/>
  <c r="E51" i="5"/>
  <c r="E52" i="5"/>
  <c r="E53" i="5"/>
  <c r="E54" i="5"/>
  <c r="E55" i="5"/>
  <c r="E56" i="5"/>
  <c r="E57" i="5"/>
  <c r="E58" i="5"/>
  <c r="E59" i="5"/>
  <c r="E60" i="5"/>
  <c r="E61" i="5"/>
  <c r="E62" i="5"/>
  <c r="X40" i="6" l="1"/>
  <c r="X39" i="6" s="1"/>
  <c r="AB39" i="6" s="1"/>
  <c r="AA42" i="6"/>
  <c r="H42" i="6" s="1"/>
  <c r="Y42" i="6"/>
  <c r="G42" i="6" s="1"/>
  <c r="AC42" i="6"/>
  <c r="I42" i="6" s="1"/>
  <c r="AC37" i="6"/>
  <c r="I37" i="6" s="1"/>
  <c r="Y37" i="6"/>
  <c r="G37" i="6" s="1"/>
  <c r="AA37" i="6"/>
  <c r="H37" i="6" s="1"/>
  <c r="J37" i="6"/>
  <c r="X46" i="8"/>
  <c r="V46" i="8"/>
  <c r="T46" i="8"/>
  <c r="R47" i="8"/>
  <c r="U44" i="8"/>
  <c r="G44" i="8" s="1"/>
  <c r="W44" i="8"/>
  <c r="H44" i="8" s="1"/>
  <c r="K44" i="8" s="1"/>
  <c r="S43" i="8"/>
  <c r="Y44" i="8"/>
  <c r="I44" i="8" s="1"/>
  <c r="L44" i="8" s="1"/>
  <c r="C48" i="8"/>
  <c r="E47" i="8"/>
  <c r="F47" i="8" s="1"/>
  <c r="J47" i="8" s="1"/>
  <c r="AD39" i="6"/>
  <c r="X38" i="6"/>
  <c r="Q42" i="6"/>
  <c r="W44" i="6"/>
  <c r="AA43" i="6"/>
  <c r="Y43" i="6"/>
  <c r="AC43" i="6"/>
  <c r="AC39" i="6"/>
  <c r="AA39" i="6"/>
  <c r="Y39" i="6"/>
  <c r="AD40" i="6"/>
  <c r="W40" i="6"/>
  <c r="Y38" i="6"/>
  <c r="AC38" i="6"/>
  <c r="AA38" i="6"/>
  <c r="P42" i="6"/>
  <c r="AD52" i="7"/>
  <c r="AB52" i="7"/>
  <c r="Z52" i="7"/>
  <c r="AA61" i="7"/>
  <c r="H61" i="7" s="1"/>
  <c r="AC61" i="7"/>
  <c r="I61" i="7" s="1"/>
  <c r="Y61" i="7"/>
  <c r="G61" i="7" s="1"/>
  <c r="W62" i="7"/>
  <c r="Y46" i="7"/>
  <c r="AC46" i="7"/>
  <c r="AA46" i="7"/>
  <c r="AC52" i="7"/>
  <c r="I52" i="7" s="1"/>
  <c r="Y52" i="7"/>
  <c r="G52" i="7" s="1"/>
  <c r="AA52" i="7"/>
  <c r="H52" i="7" s="1"/>
  <c r="Z43" i="7"/>
  <c r="AB43" i="7"/>
  <c r="AD43" i="7"/>
  <c r="Z61" i="7"/>
  <c r="AD61" i="7"/>
  <c r="AB61" i="7"/>
  <c r="X51" i="7"/>
  <c r="W38" i="7"/>
  <c r="AC37" i="7"/>
  <c r="I37" i="7" s="1"/>
  <c r="AA37" i="7"/>
  <c r="H37" i="7" s="1"/>
  <c r="Y37" i="7"/>
  <c r="G37" i="7" s="1"/>
  <c r="Y44" i="7"/>
  <c r="G44" i="7" s="1"/>
  <c r="AC44" i="7"/>
  <c r="I44" i="7" s="1"/>
  <c r="AA44" i="7"/>
  <c r="H44" i="7" s="1"/>
  <c r="W47" i="7"/>
  <c r="AD44" i="7"/>
  <c r="Z44" i="7"/>
  <c r="AB44" i="7"/>
  <c r="Y45" i="7"/>
  <c r="AC45" i="7"/>
  <c r="AA45" i="7"/>
  <c r="X60" i="7"/>
  <c r="X42" i="7"/>
  <c r="W53" i="7"/>
  <c r="AD40" i="5"/>
  <c r="AB40" i="5"/>
  <c r="Z40" i="5"/>
  <c r="AC40" i="5"/>
  <c r="I40" i="5" s="1"/>
  <c r="N40" i="5" s="1"/>
  <c r="Y40" i="5"/>
  <c r="G40" i="5" s="1"/>
  <c r="J40" i="5" s="1"/>
  <c r="AA40" i="5"/>
  <c r="H40" i="5" s="1"/>
  <c r="AA49" i="5"/>
  <c r="H49" i="5" s="1"/>
  <c r="AC49" i="5"/>
  <c r="I49" i="5" s="1"/>
  <c r="N49" i="5" s="1"/>
  <c r="W50" i="5"/>
  <c r="Y49" i="5"/>
  <c r="G49" i="5" s="1"/>
  <c r="Z49" i="5"/>
  <c r="AD49" i="5"/>
  <c r="AB49" i="5"/>
  <c r="W41" i="5"/>
  <c r="W39" i="5"/>
  <c r="X39" i="5"/>
  <c r="Z43" i="6"/>
  <c r="G43" i="6" s="1"/>
  <c r="AB43" i="6"/>
  <c r="AD43" i="6"/>
  <c r="AC70" i="7"/>
  <c r="I70" i="7" s="1"/>
  <c r="Y70" i="7"/>
  <c r="G70" i="7" s="1"/>
  <c r="AA70" i="7"/>
  <c r="H70" i="7" s="1"/>
  <c r="AD67" i="7"/>
  <c r="I67" i="7" s="1"/>
  <c r="Z67" i="7"/>
  <c r="G67" i="7" s="1"/>
  <c r="AB67" i="7"/>
  <c r="H67" i="7" s="1"/>
  <c r="P67" i="7" s="1"/>
  <c r="Q68" i="7"/>
  <c r="P68" i="7"/>
  <c r="X43" i="5"/>
  <c r="AC58" i="5"/>
  <c r="I58" i="5" s="1"/>
  <c r="N58" i="5" s="1"/>
  <c r="AA58" i="5"/>
  <c r="H58" i="5" s="1"/>
  <c r="Y58" i="5"/>
  <c r="G58" i="5" s="1"/>
  <c r="Q57" i="5"/>
  <c r="P57" i="5"/>
  <c r="P56" i="5"/>
  <c r="Q56" i="5"/>
  <c r="AB40" i="6" l="1"/>
  <c r="Z39" i="6"/>
  <c r="Z40" i="6"/>
  <c r="I43" i="6"/>
  <c r="L37" i="6"/>
  <c r="O37" i="6"/>
  <c r="P37" i="6"/>
  <c r="Q37" i="6"/>
  <c r="R48" i="8"/>
  <c r="T47" i="8"/>
  <c r="V47" i="8"/>
  <c r="X47" i="8"/>
  <c r="Y43" i="8"/>
  <c r="I43" i="8" s="1"/>
  <c r="L43" i="8" s="1"/>
  <c r="W43" i="8"/>
  <c r="H43" i="8" s="1"/>
  <c r="K43" i="8" s="1"/>
  <c r="U43" i="8"/>
  <c r="G43" i="8" s="1"/>
  <c r="S42" i="8"/>
  <c r="C49" i="8"/>
  <c r="E48" i="8"/>
  <c r="F48" i="8" s="1"/>
  <c r="J48" i="8" s="1"/>
  <c r="H43" i="6"/>
  <c r="I39" i="6"/>
  <c r="L40" i="5"/>
  <c r="O40" i="5"/>
  <c r="AD38" i="6"/>
  <c r="I38" i="6" s="1"/>
  <c r="AB38" i="6"/>
  <c r="H38" i="6" s="1"/>
  <c r="Z38" i="6"/>
  <c r="G38" i="6" s="1"/>
  <c r="J38" i="6" s="1"/>
  <c r="AC40" i="6"/>
  <c r="I40" i="6" s="1"/>
  <c r="AA40" i="6"/>
  <c r="H40" i="6" s="1"/>
  <c r="Y40" i="6"/>
  <c r="G40" i="6" s="1"/>
  <c r="J40" i="6" s="1"/>
  <c r="W41" i="6"/>
  <c r="G39" i="6"/>
  <c r="J39" i="6" s="1"/>
  <c r="W45" i="6"/>
  <c r="Y44" i="6"/>
  <c r="G44" i="6" s="1"/>
  <c r="AC44" i="6"/>
  <c r="I44" i="6" s="1"/>
  <c r="AA44" i="6"/>
  <c r="H44" i="6" s="1"/>
  <c r="H39" i="6"/>
  <c r="Q40" i="5"/>
  <c r="P40" i="5"/>
  <c r="P44" i="7"/>
  <c r="Q44" i="7"/>
  <c r="AC38" i="7"/>
  <c r="Y38" i="7"/>
  <c r="AA38" i="7"/>
  <c r="W39" i="7"/>
  <c r="W63" i="7"/>
  <c r="AC62" i="7"/>
  <c r="I62" i="7" s="1"/>
  <c r="Q62" i="7" s="1"/>
  <c r="Y62" i="7"/>
  <c r="G62" i="7" s="1"/>
  <c r="AA62" i="7"/>
  <c r="H62" i="7" s="1"/>
  <c r="P62" i="7" s="1"/>
  <c r="AA47" i="7"/>
  <c r="W48" i="7"/>
  <c r="AC47" i="7"/>
  <c r="Y47" i="7"/>
  <c r="Z51" i="7"/>
  <c r="AB51" i="7"/>
  <c r="AD51" i="7"/>
  <c r="X50" i="7"/>
  <c r="P52" i="7"/>
  <c r="Q52" i="7"/>
  <c r="P61" i="7"/>
  <c r="Q61" i="7"/>
  <c r="Y53" i="7"/>
  <c r="AA53" i="7"/>
  <c r="AC53" i="7"/>
  <c r="W54" i="7"/>
  <c r="J37" i="7"/>
  <c r="Z42" i="7"/>
  <c r="AD42" i="7"/>
  <c r="AB42" i="7"/>
  <c r="X41" i="7"/>
  <c r="AB60" i="7"/>
  <c r="H60" i="7" s="1"/>
  <c r="Z60" i="7"/>
  <c r="G60" i="7" s="1"/>
  <c r="AD60" i="7"/>
  <c r="I60" i="7" s="1"/>
  <c r="X59" i="7"/>
  <c r="Q67" i="7"/>
  <c r="P49" i="5"/>
  <c r="Q49" i="5"/>
  <c r="X38" i="5"/>
  <c r="AC50" i="5"/>
  <c r="I50" i="5" s="1"/>
  <c r="N50" i="5" s="1"/>
  <c r="Y50" i="5"/>
  <c r="G50" i="5" s="1"/>
  <c r="AA50" i="5"/>
  <c r="H50" i="5" s="1"/>
  <c r="W51" i="5"/>
  <c r="W42" i="5"/>
  <c r="Q43" i="6"/>
  <c r="P69" i="7"/>
  <c r="Q69" i="7"/>
  <c r="X42" i="5"/>
  <c r="Q58" i="5"/>
  <c r="Q55" i="5"/>
  <c r="P58" i="5"/>
  <c r="P55" i="5"/>
  <c r="Q39" i="6" l="1"/>
  <c r="L39" i="6"/>
  <c r="O39" i="6"/>
  <c r="P43" i="6"/>
  <c r="L40" i="6"/>
  <c r="O40" i="6"/>
  <c r="L38" i="6"/>
  <c r="O38" i="6"/>
  <c r="C50" i="8"/>
  <c r="E49" i="8"/>
  <c r="F49" i="8" s="1"/>
  <c r="J49" i="8" s="1"/>
  <c r="Y42" i="8"/>
  <c r="I42" i="8" s="1"/>
  <c r="L42" i="8" s="1"/>
  <c r="U42" i="8"/>
  <c r="G42" i="8" s="1"/>
  <c r="W42" i="8"/>
  <c r="H42" i="8" s="1"/>
  <c r="K42" i="8" s="1"/>
  <c r="S41" i="8"/>
  <c r="X48" i="8"/>
  <c r="T48" i="8"/>
  <c r="V48" i="8"/>
  <c r="R49" i="8"/>
  <c r="P44" i="6"/>
  <c r="Q40" i="6"/>
  <c r="P38" i="6"/>
  <c r="Q38" i="6"/>
  <c r="Y45" i="6"/>
  <c r="G45" i="6" s="1"/>
  <c r="W46" i="6"/>
  <c r="AA45" i="6"/>
  <c r="H45" i="6" s="1"/>
  <c r="AC45" i="6"/>
  <c r="I45" i="6" s="1"/>
  <c r="P39" i="6"/>
  <c r="P40" i="6"/>
  <c r="Y41" i="6"/>
  <c r="G41" i="6" s="1"/>
  <c r="J41" i="6" s="1"/>
  <c r="AC41" i="6"/>
  <c r="I41" i="6" s="1"/>
  <c r="AA41" i="6"/>
  <c r="H41" i="6" s="1"/>
  <c r="Q44" i="6"/>
  <c r="X37" i="5"/>
  <c r="P60" i="7"/>
  <c r="AA54" i="7"/>
  <c r="Y54" i="7"/>
  <c r="AC54" i="7"/>
  <c r="W55" i="7"/>
  <c r="AD41" i="7"/>
  <c r="X40" i="7"/>
  <c r="AB41" i="7"/>
  <c r="Z41" i="7"/>
  <c r="AC39" i="7"/>
  <c r="AA39" i="7"/>
  <c r="Y39" i="7"/>
  <c r="W40" i="7"/>
  <c r="AC63" i="7"/>
  <c r="I63" i="7" s="1"/>
  <c r="Y63" i="7"/>
  <c r="G63" i="7" s="1"/>
  <c r="AA63" i="7"/>
  <c r="H63" i="7" s="1"/>
  <c r="W64" i="7"/>
  <c r="W49" i="7"/>
  <c r="AA48" i="7"/>
  <c r="Y48" i="7"/>
  <c r="AC48" i="7"/>
  <c r="L37" i="7"/>
  <c r="O37" i="7"/>
  <c r="P37" i="7"/>
  <c r="Q37" i="7"/>
  <c r="Z50" i="7"/>
  <c r="AD50" i="7"/>
  <c r="AB50" i="7"/>
  <c r="X49" i="7"/>
  <c r="AB59" i="7"/>
  <c r="Z59" i="7"/>
  <c r="AD59" i="7"/>
  <c r="X58" i="7"/>
  <c r="Q60" i="7"/>
  <c r="P50" i="5"/>
  <c r="Q50" i="5"/>
  <c r="W52" i="5"/>
  <c r="AC51" i="5"/>
  <c r="I51" i="5" s="1"/>
  <c r="N51" i="5" s="1"/>
  <c r="AA51" i="5"/>
  <c r="H51" i="5" s="1"/>
  <c r="Y51" i="5"/>
  <c r="G51" i="5" s="1"/>
  <c r="W43" i="5"/>
  <c r="Q70" i="7"/>
  <c r="P70" i="7"/>
  <c r="X41" i="5"/>
  <c r="L41" i="6" l="1"/>
  <c r="O41" i="6"/>
  <c r="V49" i="8"/>
  <c r="X49" i="8"/>
  <c r="T49" i="8"/>
  <c r="W41" i="8"/>
  <c r="H41" i="8" s="1"/>
  <c r="K41" i="8" s="1"/>
  <c r="Y41" i="8"/>
  <c r="I41" i="8" s="1"/>
  <c r="L41" i="8" s="1"/>
  <c r="U41" i="8"/>
  <c r="G41" i="8" s="1"/>
  <c r="C51" i="8"/>
  <c r="R50" i="8"/>
  <c r="E50" i="8"/>
  <c r="F50" i="8" s="1"/>
  <c r="J50" i="8" s="1"/>
  <c r="S50" i="8"/>
  <c r="Q45" i="6"/>
  <c r="P45" i="6"/>
  <c r="P41" i="6"/>
  <c r="Q41" i="6"/>
  <c r="AC46" i="6"/>
  <c r="I46" i="6" s="1"/>
  <c r="Y46" i="6"/>
  <c r="G46" i="6" s="1"/>
  <c r="AA46" i="6"/>
  <c r="H46" i="6" s="1"/>
  <c r="AD58" i="7"/>
  <c r="AB58" i="7"/>
  <c r="Z58" i="7"/>
  <c r="X57" i="7"/>
  <c r="Y40" i="7"/>
  <c r="AC40" i="7"/>
  <c r="AA40" i="7"/>
  <c r="W41" i="7"/>
  <c r="X39" i="7"/>
  <c r="AB40" i="7"/>
  <c r="Z40" i="7"/>
  <c r="AD40" i="7"/>
  <c r="Q63" i="7"/>
  <c r="P63" i="7"/>
  <c r="W56" i="7"/>
  <c r="AA55" i="7"/>
  <c r="Y55" i="7"/>
  <c r="AC55" i="7"/>
  <c r="X48" i="7"/>
  <c r="Z49" i="7"/>
  <c r="AD49" i="7"/>
  <c r="AB49" i="7"/>
  <c r="AC64" i="7"/>
  <c r="I64" i="7" s="1"/>
  <c r="W65" i="7"/>
  <c r="Y64" i="7"/>
  <c r="G64" i="7" s="1"/>
  <c r="AA64" i="7"/>
  <c r="H64" i="7" s="1"/>
  <c r="AA49" i="7"/>
  <c r="W50" i="7"/>
  <c r="AC49" i="7"/>
  <c r="Y49" i="7"/>
  <c r="P51" i="5"/>
  <c r="Q51" i="5"/>
  <c r="Y52" i="5"/>
  <c r="G52" i="5" s="1"/>
  <c r="AC52" i="5"/>
  <c r="I52" i="5" s="1"/>
  <c r="N52" i="5" s="1"/>
  <c r="W53" i="5"/>
  <c r="AA52" i="5"/>
  <c r="H52" i="5" s="1"/>
  <c r="W44" i="5"/>
  <c r="I49" i="7" l="1"/>
  <c r="U50" i="8"/>
  <c r="Y50" i="8"/>
  <c r="W50" i="8"/>
  <c r="S49" i="8"/>
  <c r="T50" i="8"/>
  <c r="G50" i="8" s="1"/>
  <c r="V50" i="8"/>
  <c r="H50" i="8" s="1"/>
  <c r="K50" i="8" s="1"/>
  <c r="R51" i="8"/>
  <c r="X50" i="8"/>
  <c r="I50" i="8" s="1"/>
  <c r="L50" i="8" s="1"/>
  <c r="E51" i="8"/>
  <c r="F51" i="8" s="1"/>
  <c r="J51" i="8" s="1"/>
  <c r="C52" i="8"/>
  <c r="P46" i="6"/>
  <c r="Q46" i="6"/>
  <c r="H49" i="7"/>
  <c r="P49" i="7" s="1"/>
  <c r="G40" i="7"/>
  <c r="J40" i="7"/>
  <c r="AA41" i="7"/>
  <c r="H41" i="7" s="1"/>
  <c r="Y41" i="7"/>
  <c r="G41" i="7" s="1"/>
  <c r="AC41" i="7"/>
  <c r="I41" i="7" s="1"/>
  <c r="W42" i="7"/>
  <c r="Z48" i="7"/>
  <c r="G48" i="7" s="1"/>
  <c r="X47" i="7"/>
  <c r="AD48" i="7"/>
  <c r="I48" i="7" s="1"/>
  <c r="AB48" i="7"/>
  <c r="H48" i="7" s="1"/>
  <c r="P64" i="7"/>
  <c r="I40" i="7"/>
  <c r="AB57" i="7"/>
  <c r="AD57" i="7"/>
  <c r="X56" i="7"/>
  <c r="Z57" i="7"/>
  <c r="Q64" i="7"/>
  <c r="Y56" i="7"/>
  <c r="AC56" i="7"/>
  <c r="W57" i="7"/>
  <c r="AA56" i="7"/>
  <c r="H40" i="7"/>
  <c r="AA65" i="7"/>
  <c r="H65" i="7" s="1"/>
  <c r="AC65" i="7"/>
  <c r="I65" i="7" s="1"/>
  <c r="Y65" i="7"/>
  <c r="G65" i="7" s="1"/>
  <c r="G49" i="7"/>
  <c r="Q49" i="7"/>
  <c r="AD39" i="7"/>
  <c r="I39" i="7" s="1"/>
  <c r="Z39" i="7"/>
  <c r="G39" i="7" s="1"/>
  <c r="AB39" i="7"/>
  <c r="H39" i="7" s="1"/>
  <c r="X38" i="7"/>
  <c r="X37" i="7" s="1"/>
  <c r="W51" i="7"/>
  <c r="Y50" i="7"/>
  <c r="G50" i="7" s="1"/>
  <c r="AC50" i="7"/>
  <c r="I50" i="7" s="1"/>
  <c r="AA50" i="7"/>
  <c r="H50" i="7" s="1"/>
  <c r="Q52" i="5"/>
  <c r="P52" i="5"/>
  <c r="AA53" i="5"/>
  <c r="H53" i="5" s="1"/>
  <c r="Y53" i="5"/>
  <c r="G53" i="5" s="1"/>
  <c r="AC53" i="5"/>
  <c r="I53" i="5" s="1"/>
  <c r="N53" i="5" s="1"/>
  <c r="W45" i="5"/>
  <c r="Z37" i="7" l="1"/>
  <c r="AD37" i="7"/>
  <c r="AB37" i="7"/>
  <c r="W49" i="8"/>
  <c r="H49" i="8" s="1"/>
  <c r="K49" i="8" s="1"/>
  <c r="Y49" i="8"/>
  <c r="I49" i="8" s="1"/>
  <c r="L49" i="8" s="1"/>
  <c r="U49" i="8"/>
  <c r="G49" i="8" s="1"/>
  <c r="S48" i="8"/>
  <c r="C53" i="8"/>
  <c r="E52" i="8"/>
  <c r="F52" i="8" s="1"/>
  <c r="J52" i="8" s="1"/>
  <c r="X51" i="8"/>
  <c r="V51" i="8"/>
  <c r="R52" i="8"/>
  <c r="T51" i="8"/>
  <c r="J39" i="7"/>
  <c r="P48" i="7"/>
  <c r="Q50" i="7"/>
  <c r="W43" i="7"/>
  <c r="Y42" i="7"/>
  <c r="G42" i="7" s="1"/>
  <c r="AA42" i="7"/>
  <c r="H42" i="7" s="1"/>
  <c r="AC42" i="7"/>
  <c r="I42" i="7" s="1"/>
  <c r="AA51" i="7"/>
  <c r="H51" i="7" s="1"/>
  <c r="AC51" i="7"/>
  <c r="I51" i="7" s="1"/>
  <c r="Y51" i="7"/>
  <c r="G51" i="7" s="1"/>
  <c r="Q48" i="7"/>
  <c r="J41" i="7"/>
  <c r="X55" i="7"/>
  <c r="AB56" i="7"/>
  <c r="H56" i="7" s="1"/>
  <c r="AD56" i="7"/>
  <c r="I56" i="7" s="1"/>
  <c r="Z56" i="7"/>
  <c r="G56" i="7" s="1"/>
  <c r="W58" i="7"/>
  <c r="AC57" i="7"/>
  <c r="I57" i="7" s="1"/>
  <c r="AA57" i="7"/>
  <c r="H57" i="7" s="1"/>
  <c r="Y57" i="7"/>
  <c r="G57" i="7" s="1"/>
  <c r="AB38" i="7"/>
  <c r="H38" i="7" s="1"/>
  <c r="AD38" i="7"/>
  <c r="I38" i="7" s="1"/>
  <c r="Z38" i="7"/>
  <c r="G38" i="7" s="1"/>
  <c r="Q65" i="7"/>
  <c r="AB47" i="7"/>
  <c r="H47" i="7" s="1"/>
  <c r="Z47" i="7"/>
  <c r="G47" i="7" s="1"/>
  <c r="AD47" i="7"/>
  <c r="I47" i="7" s="1"/>
  <c r="X46" i="7"/>
  <c r="P50" i="7"/>
  <c r="P65" i="7"/>
  <c r="O40" i="7"/>
  <c r="L40" i="7"/>
  <c r="P40" i="7"/>
  <c r="Q40" i="7"/>
  <c r="P53" i="5"/>
  <c r="Q53" i="5"/>
  <c r="W46" i="5"/>
  <c r="W47" i="5" s="1"/>
  <c r="W48" i="5" s="1"/>
  <c r="C54" i="8" l="1"/>
  <c r="E53" i="8"/>
  <c r="F53" i="8" s="1"/>
  <c r="J53" i="8" s="1"/>
  <c r="Y48" i="8"/>
  <c r="I48" i="8" s="1"/>
  <c r="L48" i="8" s="1"/>
  <c r="W48" i="8"/>
  <c r="H48" i="8" s="1"/>
  <c r="K48" i="8" s="1"/>
  <c r="U48" i="8"/>
  <c r="G48" i="8" s="1"/>
  <c r="S47" i="8"/>
  <c r="V52" i="8"/>
  <c r="T52" i="8"/>
  <c r="X52" i="8"/>
  <c r="R53" i="8"/>
  <c r="J38" i="7"/>
  <c r="J42" i="7"/>
  <c r="Q51" i="7"/>
  <c r="AA43" i="7"/>
  <c r="H43" i="7" s="1"/>
  <c r="AC43" i="7"/>
  <c r="I43" i="7" s="1"/>
  <c r="Y43" i="7"/>
  <c r="G43" i="7" s="1"/>
  <c r="Q47" i="7"/>
  <c r="P56" i="7"/>
  <c r="P51" i="7"/>
  <c r="P57" i="7"/>
  <c r="Q41" i="7"/>
  <c r="L41" i="7"/>
  <c r="O41" i="7"/>
  <c r="P41" i="7"/>
  <c r="AB46" i="7"/>
  <c r="H46" i="7" s="1"/>
  <c r="X45" i="7"/>
  <c r="Z46" i="7"/>
  <c r="G46" i="7" s="1"/>
  <c r="AD46" i="7"/>
  <c r="I46" i="7" s="1"/>
  <c r="AB55" i="7"/>
  <c r="H55" i="7" s="1"/>
  <c r="Z55" i="7"/>
  <c r="G55" i="7" s="1"/>
  <c r="X54" i="7"/>
  <c r="AD55" i="7"/>
  <c r="I55" i="7" s="1"/>
  <c r="Q56" i="7"/>
  <c r="P47" i="7"/>
  <c r="Q57" i="7"/>
  <c r="AC58" i="7"/>
  <c r="I58" i="7" s="1"/>
  <c r="AA58" i="7"/>
  <c r="H58" i="7" s="1"/>
  <c r="W59" i="7"/>
  <c r="Y58" i="7"/>
  <c r="G58" i="7" s="1"/>
  <c r="L39" i="7"/>
  <c r="P39" i="7"/>
  <c r="O39" i="7"/>
  <c r="Q39" i="7"/>
  <c r="U47" i="8" l="1"/>
  <c r="W47" i="8"/>
  <c r="H47" i="8" s="1"/>
  <c r="K47" i="8" s="1"/>
  <c r="Y47" i="8"/>
  <c r="I47" i="8" s="1"/>
  <c r="L47" i="8" s="1"/>
  <c r="S46" i="8"/>
  <c r="G47" i="8"/>
  <c r="E54" i="8"/>
  <c r="F54" i="8" s="1"/>
  <c r="J54" i="8" s="1"/>
  <c r="C55" i="8"/>
  <c r="T53" i="8"/>
  <c r="X53" i="8"/>
  <c r="V53" i="8"/>
  <c r="R54" i="8"/>
  <c r="Q58" i="7"/>
  <c r="Q55" i="7"/>
  <c r="Z54" i="7"/>
  <c r="G54" i="7" s="1"/>
  <c r="AB54" i="7"/>
  <c r="H54" i="7" s="1"/>
  <c r="AD54" i="7"/>
  <c r="I54" i="7" s="1"/>
  <c r="X53" i="7"/>
  <c r="P58" i="7"/>
  <c r="P55" i="7"/>
  <c r="Q46" i="7"/>
  <c r="P42" i="7"/>
  <c r="Q42" i="7"/>
  <c r="L42" i="7"/>
  <c r="O42" i="7"/>
  <c r="J43" i="7"/>
  <c r="AD45" i="7"/>
  <c r="I45" i="7" s="1"/>
  <c r="Z45" i="7"/>
  <c r="G45" i="7" s="1"/>
  <c r="AB45" i="7"/>
  <c r="H45" i="7" s="1"/>
  <c r="AA59" i="7"/>
  <c r="H59" i="7" s="1"/>
  <c r="AC59" i="7"/>
  <c r="I59" i="7" s="1"/>
  <c r="Y59" i="7"/>
  <c r="G59" i="7" s="1"/>
  <c r="P46" i="7"/>
  <c r="L38" i="7"/>
  <c r="P38" i="7"/>
  <c r="O38" i="7"/>
  <c r="Q38" i="7"/>
  <c r="W46" i="8" l="1"/>
  <c r="H46" i="8" s="1"/>
  <c r="K46" i="8" s="1"/>
  <c r="Y46" i="8"/>
  <c r="I46" i="8" s="1"/>
  <c r="L46" i="8" s="1"/>
  <c r="U46" i="8"/>
  <c r="G46" i="8" s="1"/>
  <c r="X54" i="8"/>
  <c r="V54" i="8"/>
  <c r="T54" i="8"/>
  <c r="C56" i="8"/>
  <c r="C57" i="8" s="1"/>
  <c r="C58" i="8" s="1"/>
  <c r="C59" i="8" s="1"/>
  <c r="C60" i="8" s="1"/>
  <c r="E55" i="8"/>
  <c r="F55" i="8" s="1"/>
  <c r="J55" i="8" s="1"/>
  <c r="R55" i="8"/>
  <c r="S55" i="8"/>
  <c r="P59" i="7"/>
  <c r="P45" i="7"/>
  <c r="P54" i="7"/>
  <c r="Q54" i="7"/>
  <c r="Q43" i="7"/>
  <c r="L43" i="7"/>
  <c r="O43" i="7"/>
  <c r="P43" i="7"/>
  <c r="AD53" i="7"/>
  <c r="I53" i="7" s="1"/>
  <c r="AB53" i="7"/>
  <c r="H53" i="7" s="1"/>
  <c r="Z53" i="7"/>
  <c r="G53" i="7" s="1"/>
  <c r="Q45" i="7"/>
  <c r="Q59" i="7"/>
  <c r="J61" i="8" l="1"/>
  <c r="U55" i="8"/>
  <c r="Y55" i="8"/>
  <c r="W55" i="8"/>
  <c r="S54" i="8"/>
  <c r="T55" i="8"/>
  <c r="G55" i="8" s="1"/>
  <c r="V55" i="8"/>
  <c r="H55" i="8" s="1"/>
  <c r="K55" i="8" s="1"/>
  <c r="X55" i="8"/>
  <c r="I55" i="8" s="1"/>
  <c r="R56" i="8"/>
  <c r="Q53" i="7"/>
  <c r="P53" i="7"/>
  <c r="G57" i="8" l="1"/>
  <c r="G58" i="8"/>
  <c r="G59" i="8"/>
  <c r="G60" i="8"/>
  <c r="G56" i="8"/>
  <c r="I58" i="8"/>
  <c r="L58" i="8" s="1"/>
  <c r="I60" i="8"/>
  <c r="L60" i="8" s="1"/>
  <c r="I57" i="8"/>
  <c r="L57" i="8" s="1"/>
  <c r="I56" i="8"/>
  <c r="L56" i="8" s="1"/>
  <c r="I59" i="8"/>
  <c r="L59" i="8" s="1"/>
  <c r="W54" i="8"/>
  <c r="H54" i="8" s="1"/>
  <c r="K54" i="8" s="1"/>
  <c r="Y54" i="8"/>
  <c r="I54" i="8" s="1"/>
  <c r="L54" i="8" s="1"/>
  <c r="U54" i="8"/>
  <c r="G54" i="8" s="1"/>
  <c r="S53" i="8"/>
  <c r="T56" i="8"/>
  <c r="X56" i="8"/>
  <c r="V56" i="8"/>
  <c r="H59" i="8"/>
  <c r="K59" i="8" s="1"/>
  <c r="H58" i="8"/>
  <c r="K58" i="8" s="1"/>
  <c r="H60" i="8"/>
  <c r="K60" i="8" s="1"/>
  <c r="H57" i="8"/>
  <c r="K57" i="8" s="1"/>
  <c r="H56" i="8"/>
  <c r="K56" i="8" s="1"/>
  <c r="L55" i="8"/>
  <c r="E37" i="5"/>
  <c r="AC37" i="5" l="1"/>
  <c r="I37" i="5" s="1"/>
  <c r="AA37" i="5"/>
  <c r="H37" i="5" s="1"/>
  <c r="Y37" i="5"/>
  <c r="G37" i="5" s="1"/>
  <c r="J37" i="5" s="1"/>
  <c r="AD39" i="5"/>
  <c r="AB39" i="5"/>
  <c r="Z39" i="5"/>
  <c r="AA38" i="5"/>
  <c r="Y38" i="5"/>
  <c r="AC38" i="5"/>
  <c r="Y39" i="5"/>
  <c r="AA39" i="5"/>
  <c r="AC39" i="5"/>
  <c r="AB38" i="5"/>
  <c r="Z38" i="5"/>
  <c r="AD38" i="5"/>
  <c r="I38" i="5" s="1"/>
  <c r="AB37" i="5"/>
  <c r="AD37" i="5"/>
  <c r="Z37" i="5"/>
  <c r="Y53" i="8"/>
  <c r="I53" i="8" s="1"/>
  <c r="L53" i="8" s="1"/>
  <c r="W53" i="8"/>
  <c r="H53" i="8" s="1"/>
  <c r="K53" i="8" s="1"/>
  <c r="U53" i="8"/>
  <c r="G53" i="8" s="1"/>
  <c r="S52" i="8"/>
  <c r="Y41" i="5"/>
  <c r="AC41" i="5"/>
  <c r="AA41" i="5"/>
  <c r="AA42" i="5"/>
  <c r="Y42" i="5"/>
  <c r="AC42" i="5"/>
  <c r="Y43" i="5"/>
  <c r="AA43" i="5"/>
  <c r="AC43" i="5"/>
  <c r="AC44" i="5"/>
  <c r="Y44" i="5"/>
  <c r="AA44" i="5"/>
  <c r="AC45" i="5"/>
  <c r="AA45" i="5"/>
  <c r="Y45" i="5"/>
  <c r="Y46" i="5"/>
  <c r="AC46" i="5"/>
  <c r="AA46" i="5"/>
  <c r="AD48" i="5"/>
  <c r="AB48" i="5"/>
  <c r="Z48" i="5"/>
  <c r="AD47" i="5"/>
  <c r="AB47" i="5"/>
  <c r="Z47" i="5"/>
  <c r="AB46" i="5"/>
  <c r="Z45" i="5"/>
  <c r="AD46" i="5"/>
  <c r="Z46" i="5"/>
  <c r="AD45" i="5"/>
  <c r="I45" i="5" s="1"/>
  <c r="N45" i="5" s="1"/>
  <c r="AB45" i="5"/>
  <c r="AB44" i="5"/>
  <c r="AD44" i="5"/>
  <c r="Z44" i="5"/>
  <c r="AB43" i="5"/>
  <c r="Z43" i="5"/>
  <c r="AD43" i="5"/>
  <c r="AD42" i="5"/>
  <c r="AB42" i="5"/>
  <c r="Z42" i="5"/>
  <c r="Z41" i="5"/>
  <c r="AC47" i="5"/>
  <c r="AB41" i="5"/>
  <c r="H41" i="5" s="1"/>
  <c r="AD41" i="5"/>
  <c r="Y47" i="5"/>
  <c r="AA47" i="5"/>
  <c r="AC48" i="5"/>
  <c r="Y48" i="5"/>
  <c r="AA48" i="5"/>
  <c r="O37" i="5" l="1"/>
  <c r="L37" i="5"/>
  <c r="G38" i="5"/>
  <c r="J38" i="5" s="1"/>
  <c r="Q38" i="5" s="1"/>
  <c r="G39" i="5"/>
  <c r="J39" i="5" s="1"/>
  <c r="P37" i="5"/>
  <c r="I39" i="5"/>
  <c r="I42" i="5"/>
  <c r="N42" i="5" s="1"/>
  <c r="G48" i="5"/>
  <c r="I41" i="5"/>
  <c r="N41" i="5" s="1"/>
  <c r="G42" i="5"/>
  <c r="J42" i="5" s="1"/>
  <c r="L42" i="5" s="1"/>
  <c r="I46" i="5"/>
  <c r="N46" i="5" s="1"/>
  <c r="H38" i="5"/>
  <c r="H39" i="5"/>
  <c r="N37" i="5"/>
  <c r="Q37" i="5"/>
  <c r="G41" i="5"/>
  <c r="J41" i="5" s="1"/>
  <c r="L41" i="5" s="1"/>
  <c r="H48" i="5"/>
  <c r="H44" i="5"/>
  <c r="H42" i="5"/>
  <c r="I44" i="5"/>
  <c r="N44" i="5" s="1"/>
  <c r="H45" i="5"/>
  <c r="I48" i="5"/>
  <c r="N48" i="5" s="1"/>
  <c r="G44" i="5"/>
  <c r="J44" i="5" s="1"/>
  <c r="O44" i="5" s="1"/>
  <c r="I43" i="5"/>
  <c r="N43" i="5" s="1"/>
  <c r="U52" i="8"/>
  <c r="G52" i="8" s="1"/>
  <c r="W52" i="8"/>
  <c r="H52" i="8" s="1"/>
  <c r="K52" i="8" s="1"/>
  <c r="S51" i="8"/>
  <c r="Y52" i="8"/>
  <c r="I52" i="8" s="1"/>
  <c r="L52" i="8" s="1"/>
  <c r="G43" i="5"/>
  <c r="J43" i="5" s="1"/>
  <c r="O43" i="5" s="1"/>
  <c r="H43" i="5"/>
  <c r="G45" i="5"/>
  <c r="J45" i="5" s="1"/>
  <c r="O45" i="5" s="1"/>
  <c r="G46" i="5"/>
  <c r="J46" i="5" s="1"/>
  <c r="L46" i="5" s="1"/>
  <c r="H46" i="5"/>
  <c r="I47" i="5"/>
  <c r="N47" i="5" s="1"/>
  <c r="O41" i="5"/>
  <c r="H47" i="5"/>
  <c r="G47" i="5"/>
  <c r="J47" i="5" s="1"/>
  <c r="D75" i="7"/>
  <c r="D51" i="6"/>
  <c r="E37" i="7"/>
  <c r="E38" i="7"/>
  <c r="E39" i="7"/>
  <c r="E40" i="7"/>
  <c r="E41" i="7"/>
  <c r="E42" i="7"/>
  <c r="E43" i="7"/>
  <c r="E44" i="7"/>
  <c r="E45" i="7"/>
  <c r="E46" i="7"/>
  <c r="E47" i="7"/>
  <c r="E48" i="7"/>
  <c r="C17" i="7"/>
  <c r="Q41" i="5" l="1"/>
  <c r="N38" i="5"/>
  <c r="P48" i="5"/>
  <c r="N39" i="5"/>
  <c r="L38" i="5"/>
  <c r="O38" i="5"/>
  <c r="O42" i="5"/>
  <c r="P42" i="5"/>
  <c r="Q42" i="5"/>
  <c r="Q48" i="5"/>
  <c r="P38" i="5"/>
  <c r="P41" i="5"/>
  <c r="P39" i="5"/>
  <c r="Q39" i="5"/>
  <c r="O39" i="5"/>
  <c r="L39" i="5"/>
  <c r="P47" i="5"/>
  <c r="L43" i="5"/>
  <c r="P43" i="5"/>
  <c r="P44" i="5"/>
  <c r="L44" i="5"/>
  <c r="Q46" i="5"/>
  <c r="P45" i="5"/>
  <c r="Q45" i="5"/>
  <c r="Q43" i="5"/>
  <c r="Q44" i="5"/>
  <c r="Y51" i="8"/>
  <c r="I51" i="8" s="1"/>
  <c r="L51" i="8" s="1"/>
  <c r="L61" i="8" s="1"/>
  <c r="L19" i="8" s="1"/>
  <c r="M19" i="8" s="1"/>
  <c r="W51" i="8"/>
  <c r="H51" i="8" s="1"/>
  <c r="K51" i="8" s="1"/>
  <c r="K61" i="8" s="1"/>
  <c r="K19" i="8" s="1"/>
  <c r="U51" i="8"/>
  <c r="G51" i="8" s="1"/>
  <c r="Q47" i="5"/>
  <c r="O46" i="5"/>
  <c r="L45" i="5"/>
  <c r="P46" i="5"/>
  <c r="L47" i="5"/>
  <c r="O47" i="5"/>
  <c r="E74" i="7" l="1"/>
  <c r="E73" i="7"/>
  <c r="E72" i="7"/>
  <c r="E71" i="7"/>
  <c r="E70" i="7"/>
  <c r="E69" i="7"/>
  <c r="E68" i="7"/>
  <c r="E67" i="7"/>
  <c r="E66" i="7"/>
  <c r="E65" i="7"/>
  <c r="E64" i="7"/>
  <c r="E63" i="7"/>
  <c r="E62" i="7"/>
  <c r="E61" i="7"/>
  <c r="E60" i="7"/>
  <c r="E59" i="7"/>
  <c r="E58" i="7"/>
  <c r="E57" i="7"/>
  <c r="E56" i="7"/>
  <c r="E55" i="7"/>
  <c r="E54" i="7"/>
  <c r="E53" i="7"/>
  <c r="E52" i="7"/>
  <c r="E51" i="7"/>
  <c r="E50" i="7"/>
  <c r="E49" i="7"/>
  <c r="D31" i="7"/>
  <c r="L28" i="7"/>
  <c r="D30" i="7"/>
  <c r="D29" i="7"/>
  <c r="D23" i="7"/>
  <c r="C21" i="7"/>
  <c r="C20" i="7"/>
  <c r="C19" i="7"/>
  <c r="C18" i="7"/>
  <c r="I5" i="7"/>
  <c r="E50" i="6"/>
  <c r="E49" i="6"/>
  <c r="E48" i="6"/>
  <c r="E47" i="6"/>
  <c r="E46" i="6"/>
  <c r="E45" i="6"/>
  <c r="E44" i="6"/>
  <c r="E43" i="6"/>
  <c r="E42" i="6"/>
  <c r="E41" i="6"/>
  <c r="E40" i="6"/>
  <c r="E39" i="6"/>
  <c r="E38" i="6"/>
  <c r="E37" i="6"/>
  <c r="D31" i="6"/>
  <c r="L28" i="6"/>
  <c r="D30" i="6"/>
  <c r="D29" i="6"/>
  <c r="D22" i="6"/>
  <c r="C20" i="6"/>
  <c r="C19" i="6"/>
  <c r="C18" i="6"/>
  <c r="E10" i="6"/>
  <c r="I5" i="6"/>
  <c r="M49" i="6" l="1"/>
  <c r="M47" i="6"/>
  <c r="M50" i="6"/>
  <c r="M48" i="6"/>
  <c r="M37" i="6"/>
  <c r="M42" i="6"/>
  <c r="M43" i="6"/>
  <c r="M39" i="6"/>
  <c r="M38" i="6"/>
  <c r="M40" i="6"/>
  <c r="M44" i="6"/>
  <c r="M45" i="6"/>
  <c r="M41" i="6"/>
  <c r="M46" i="6"/>
  <c r="M66" i="7"/>
  <c r="M72" i="7"/>
  <c r="M71" i="7"/>
  <c r="M73" i="7"/>
  <c r="M74" i="7"/>
  <c r="M68" i="7"/>
  <c r="M67" i="7"/>
  <c r="M69" i="7"/>
  <c r="M52" i="7"/>
  <c r="M44" i="7"/>
  <c r="M61" i="7"/>
  <c r="M37" i="7"/>
  <c r="M62" i="7"/>
  <c r="M70" i="7"/>
  <c r="M60" i="7"/>
  <c r="M63" i="7"/>
  <c r="M64" i="7"/>
  <c r="M40" i="7"/>
  <c r="M39" i="7"/>
  <c r="M48" i="7"/>
  <c r="M65" i="7"/>
  <c r="M49" i="7"/>
  <c r="M41" i="7"/>
  <c r="M50" i="7"/>
  <c r="M51" i="7"/>
  <c r="M47" i="7"/>
  <c r="M42" i="7"/>
  <c r="M57" i="7"/>
  <c r="M56" i="7"/>
  <c r="M38" i="7"/>
  <c r="M46" i="7"/>
  <c r="M55" i="7"/>
  <c r="M58" i="7"/>
  <c r="M43" i="7"/>
  <c r="M45" i="7"/>
  <c r="M54" i="7"/>
  <c r="M59" i="7"/>
  <c r="M53" i="7"/>
  <c r="D21" i="6"/>
  <c r="I5" i="5"/>
  <c r="M54" i="5" l="1"/>
  <c r="M59" i="5"/>
  <c r="M62" i="5"/>
  <c r="M61" i="5"/>
  <c r="M60" i="5"/>
  <c r="M57" i="5"/>
  <c r="M56" i="5"/>
  <c r="M40" i="5"/>
  <c r="M55" i="5"/>
  <c r="M58" i="5"/>
  <c r="M49" i="5"/>
  <c r="M50" i="5"/>
  <c r="M51" i="5"/>
  <c r="M52" i="5"/>
  <c r="M53" i="5"/>
  <c r="M41" i="5"/>
  <c r="M37" i="5"/>
  <c r="M46" i="5"/>
  <c r="M47" i="5"/>
  <c r="M38" i="5"/>
  <c r="M45" i="5"/>
  <c r="M42" i="5"/>
  <c r="M48" i="5"/>
  <c r="M43" i="5"/>
  <c r="M39" i="5"/>
  <c r="M44" i="5"/>
  <c r="K75" i="7"/>
  <c r="K51" i="6"/>
  <c r="C17" i="5"/>
  <c r="D30" i="5"/>
  <c r="D31" i="5"/>
  <c r="D29" i="5"/>
  <c r="C18" i="5"/>
  <c r="C19" i="5"/>
  <c r="C20" i="5"/>
  <c r="D22" i="5"/>
  <c r="D21" i="5"/>
  <c r="D63" i="5"/>
  <c r="K63" i="5" l="1"/>
  <c r="L75" i="7" l="1"/>
  <c r="O75" i="7"/>
  <c r="N51" i="6" l="1"/>
  <c r="O19" i="6" s="1"/>
  <c r="P19" i="6" s="1"/>
  <c r="M51" i="6"/>
  <c r="N19" i="6" s="1"/>
  <c r="P51" i="6"/>
  <c r="L51" i="6"/>
  <c r="O51" i="6"/>
  <c r="Q51" i="6"/>
  <c r="L19" i="6" l="1"/>
  <c r="K19" i="6"/>
  <c r="Q75" i="7" l="1"/>
  <c r="L19" i="7" s="1"/>
  <c r="N75" i="7"/>
  <c r="O19" i="7" s="1"/>
  <c r="P19" i="7" s="1"/>
  <c r="P75" i="7"/>
  <c r="K19" i="7" s="1"/>
  <c r="M75" i="7"/>
  <c r="N19" i="7" s="1"/>
  <c r="L63" i="5" l="1"/>
  <c r="O63" i="5"/>
  <c r="N63" i="5" l="1"/>
  <c r="O19" i="5" s="1"/>
  <c r="P19" i="5" s="1"/>
  <c r="Q63" i="5"/>
  <c r="L19" i="5" s="1"/>
  <c r="P63" i="5"/>
  <c r="K19" i="5" s="1"/>
  <c r="M19" i="5" s="1"/>
  <c r="M63" i="5"/>
  <c r="N19" i="5" s="1"/>
  <c r="Q19" i="5" l="1"/>
  <c r="R19" i="5" s="1"/>
</calcChain>
</file>

<file path=xl/sharedStrings.xml><?xml version="1.0" encoding="utf-8"?>
<sst xmlns="http://schemas.openxmlformats.org/spreadsheetml/2006/main" count="615" uniqueCount="166">
  <si>
    <t>For each tab</t>
  </si>
  <si>
    <t>All grey cells are optional to fill in ; they provide information on the unit for which the calculation is made</t>
  </si>
  <si>
    <t>Some cells shall be filled in by using a selected list of options</t>
  </si>
  <si>
    <t>Calculate / Reset</t>
  </si>
  <si>
    <t>Bin calculation</t>
  </si>
  <si>
    <t>Error messages</t>
  </si>
  <si>
    <t>In case of error in input data, an error message will appear, once the calculation is launched by clicking on Calculate"</t>
  </si>
  <si>
    <t>Correct the data and click again on "Calculate"</t>
  </si>
  <si>
    <t>fixed</t>
  </si>
  <si>
    <t>outdoor air-to-water</t>
  </si>
  <si>
    <t>23/18°C</t>
  </si>
  <si>
    <t>55°C</t>
  </si>
  <si>
    <t>heating only</t>
  </si>
  <si>
    <t>reversible</t>
  </si>
  <si>
    <t>Product reference</t>
  </si>
  <si>
    <t>Reference conditions</t>
  </si>
  <si>
    <t>Manufacturer</t>
  </si>
  <si>
    <t>Climate</t>
  </si>
  <si>
    <t>average</t>
  </si>
  <si>
    <t>Tdesignh</t>
  </si>
  <si>
    <t>°C</t>
  </si>
  <si>
    <t>Type of heat pump</t>
  </si>
  <si>
    <t>Pdesignh</t>
  </si>
  <si>
    <t xml:space="preserve">kW </t>
  </si>
  <si>
    <t>Operating mode</t>
  </si>
  <si>
    <t>Tbiv</t>
  </si>
  <si>
    <t>Temperature application</t>
  </si>
  <si>
    <t>TOL</t>
  </si>
  <si>
    <t>Energy Efficiency</t>
  </si>
  <si>
    <t>Water flow</t>
  </si>
  <si>
    <t>hours</t>
  </si>
  <si>
    <t>Water outlet temperature</t>
  </si>
  <si>
    <t>kWh</t>
  </si>
  <si>
    <t>Capacity control</t>
  </si>
  <si>
    <t>%</t>
  </si>
  <si>
    <t>Performance data</t>
  </si>
  <si>
    <t>Condition</t>
  </si>
  <si>
    <t>Outdoor air T°C</t>
  </si>
  <si>
    <t>Part load ratio (%)</t>
  </si>
  <si>
    <t>Part Load (kW)</t>
  </si>
  <si>
    <t>Inlet / outlet water temperatures for testing</t>
  </si>
  <si>
    <t>Declared Capacity (kW)</t>
  </si>
  <si>
    <t>A</t>
  </si>
  <si>
    <t>B</t>
  </si>
  <si>
    <t>C</t>
  </si>
  <si>
    <t>D</t>
  </si>
  <si>
    <t>E(TOL)</t>
  </si>
  <si>
    <t>F(Tbiv)</t>
  </si>
  <si>
    <t>Auxiliairy power consumptions</t>
  </si>
  <si>
    <t>Operating modes for heating only</t>
  </si>
  <si>
    <t>Operating modes for reversible units</t>
  </si>
  <si>
    <t>Hours</t>
  </si>
  <si>
    <t>Thermostat off</t>
  </si>
  <si>
    <t>Stand by</t>
  </si>
  <si>
    <t>Off mode</t>
  </si>
  <si>
    <t xml:space="preserve">Bin </t>
  </si>
  <si>
    <t>Outdoor air temp.</t>
  </si>
  <si>
    <t xml:space="preserve">Hours </t>
  </si>
  <si>
    <t>Part load ratio</t>
  </si>
  <si>
    <t>Annual heating demand</t>
  </si>
  <si>
    <t>j</t>
  </si>
  <si>
    <t>Tj</t>
  </si>
  <si>
    <t>hj</t>
  </si>
  <si>
    <t>Ph(tj)</t>
  </si>
  <si>
    <t>hj * Ph(Tj)</t>
  </si>
  <si>
    <t>-</t>
  </si>
  <si>
    <t>Calorific value of test gas</t>
  </si>
  <si>
    <t>GCV</t>
  </si>
  <si>
    <t>Declared GUEd</t>
  </si>
  <si>
    <t>Declared AEFd</t>
  </si>
  <si>
    <r>
      <t>η</t>
    </r>
    <r>
      <rPr>
        <vertAlign val="subscript"/>
        <sz val="12"/>
        <rFont val="Trebuchet MS"/>
        <family val="2"/>
      </rPr>
      <t xml:space="preserve">Aux </t>
    </r>
    <r>
      <rPr>
        <b/>
        <vertAlign val="subscript"/>
        <sz val="12"/>
        <rFont val="Trebuchet MS"/>
        <family val="2"/>
      </rPr>
      <t>(GCV)</t>
    </r>
  </si>
  <si>
    <r>
      <t>e</t>
    </r>
    <r>
      <rPr>
        <vertAlign val="subscript"/>
        <sz val="12"/>
        <rFont val="Trebuchet MS"/>
        <family val="2"/>
      </rPr>
      <t>Aux</t>
    </r>
  </si>
  <si>
    <t>Heat demand</t>
  </si>
  <si>
    <t>Annual auxiliary heat</t>
  </si>
  <si>
    <t>h</t>
  </si>
  <si>
    <t>kW</t>
  </si>
  <si>
    <t>GUEh(Tj)</t>
  </si>
  <si>
    <t>AEFh(Tj)</t>
  </si>
  <si>
    <t>Paux(Tj)</t>
  </si>
  <si>
    <r>
      <t>η</t>
    </r>
    <r>
      <rPr>
        <vertAlign val="subscript"/>
        <sz val="12"/>
        <rFont val="Trebuchet MS"/>
        <family val="2"/>
      </rPr>
      <t xml:space="preserve">30% </t>
    </r>
    <r>
      <rPr>
        <b/>
        <vertAlign val="subscript"/>
        <sz val="12"/>
        <rFont val="Trebuchet MS"/>
        <family val="2"/>
      </rPr>
      <t>(GCV)</t>
    </r>
  </si>
  <si>
    <r>
      <t>η</t>
    </r>
    <r>
      <rPr>
        <vertAlign val="subscript"/>
        <sz val="12"/>
        <rFont val="Trebuchet MS"/>
        <family val="2"/>
      </rPr>
      <t xml:space="preserve">100% </t>
    </r>
    <r>
      <rPr>
        <b/>
        <vertAlign val="subscript"/>
        <sz val="12"/>
        <rFont val="Trebuchet MS"/>
        <family val="2"/>
      </rPr>
      <t>(GCV)</t>
    </r>
  </si>
  <si>
    <t>Default values</t>
  </si>
  <si>
    <t>Backup heater for bivalent units</t>
  </si>
  <si>
    <t>hj * Paux(Tj)</t>
  </si>
  <si>
    <t>Heat load covered by auxiliary heater</t>
  </si>
  <si>
    <t>Backup heater data - auxiliary gas boiler</t>
  </si>
  <si>
    <t>Heat load covered by 
the heat pump</t>
  </si>
  <si>
    <t>Annual gas input 
with auxiliary heater</t>
  </si>
  <si>
    <t>Annual electricity input (auxiliary heater</t>
  </si>
  <si>
    <t>hj *[Ph(Tj)-Paux(Tj)
/AEFh(Tj)]</t>
  </si>
  <si>
    <t>hj *[Ph(Tj)-Paux(Tj)
/GUEh(Tj)]</t>
  </si>
  <si>
    <t>hj *[Ph(Tj)-Paux(Tj)</t>
  </si>
  <si>
    <t>SAEF</t>
  </si>
  <si>
    <r>
      <t xml:space="preserve">Annual gas 
input for GAHP 
</t>
    </r>
    <r>
      <rPr>
        <b/>
        <sz val="14"/>
        <rFont val="Trebuchet MS"/>
        <family val="2"/>
      </rPr>
      <t>net</t>
    </r>
  </si>
  <si>
    <r>
      <t xml:space="preserve">Annual heat produced by GAHP
</t>
    </r>
    <r>
      <rPr>
        <b/>
        <sz val="14"/>
        <rFont val="Trebuchet MS"/>
        <family val="2"/>
      </rPr>
      <t>net</t>
    </r>
  </si>
  <si>
    <r>
      <t>SGUE</t>
    </r>
    <r>
      <rPr>
        <b/>
        <vertAlign val="subscript"/>
        <sz val="12"/>
        <rFont val="Trebuchet MS"/>
        <family val="2"/>
      </rPr>
      <t>h</t>
    </r>
    <r>
      <rPr>
        <b/>
        <sz val="12"/>
        <rFont val="Trebuchet MS"/>
        <family val="2"/>
      </rPr>
      <t>net</t>
    </r>
  </si>
  <si>
    <r>
      <t>SAEF</t>
    </r>
    <r>
      <rPr>
        <b/>
        <vertAlign val="subscript"/>
        <sz val="12"/>
        <rFont val="Trebuchet MS"/>
        <family val="2"/>
      </rPr>
      <t>h</t>
    </r>
    <r>
      <rPr>
        <b/>
        <sz val="12"/>
        <rFont val="Trebuchet MS"/>
        <family val="2"/>
      </rPr>
      <t>net</t>
    </r>
  </si>
  <si>
    <r>
      <t>SPER</t>
    </r>
    <r>
      <rPr>
        <b/>
        <vertAlign val="subscript"/>
        <sz val="12"/>
        <rFont val="Trebuchet MS"/>
        <family val="2"/>
      </rPr>
      <t>h</t>
    </r>
    <r>
      <rPr>
        <b/>
        <sz val="12"/>
        <rFont val="Trebuchet MS"/>
        <family val="2"/>
      </rPr>
      <t>net</t>
    </r>
  </si>
  <si>
    <r>
      <t xml:space="preserve">Annual electricity 
input for GAHP 
</t>
    </r>
    <r>
      <rPr>
        <b/>
        <sz val="14"/>
        <rFont val="Trebuchet MS"/>
        <family val="2"/>
      </rPr>
      <t>net</t>
    </r>
  </si>
  <si>
    <t>Primary energy factors</t>
  </si>
  <si>
    <t>Kw/kW</t>
  </si>
  <si>
    <r>
      <t>Prim</t>
    </r>
    <r>
      <rPr>
        <vertAlign val="subscript"/>
        <sz val="12"/>
        <rFont val="Trebuchet MS"/>
        <family val="2"/>
      </rPr>
      <t>elec</t>
    </r>
  </si>
  <si>
    <r>
      <t xml:space="preserve"> Prim</t>
    </r>
    <r>
      <rPr>
        <vertAlign val="subscript"/>
        <sz val="12"/>
        <rFont val="Trebuchet MS"/>
        <family val="2"/>
      </rPr>
      <t xml:space="preserve">GAS </t>
    </r>
    <r>
      <rPr>
        <sz val="12"/>
        <rFont val="Trebuchet MS"/>
        <family val="2"/>
      </rPr>
      <t>(GCV)</t>
    </r>
  </si>
  <si>
    <r>
      <t>SGUE</t>
    </r>
    <r>
      <rPr>
        <b/>
        <vertAlign val="subscript"/>
        <sz val="12"/>
        <rFont val="Trebuchet MS"/>
        <family val="2"/>
      </rPr>
      <t>h</t>
    </r>
  </si>
  <si>
    <t>Qrefh</t>
  </si>
  <si>
    <r>
      <t>SAEF</t>
    </r>
    <r>
      <rPr>
        <b/>
        <vertAlign val="subscript"/>
        <sz val="12"/>
        <rFont val="Trebuchet MS"/>
        <family val="2"/>
      </rPr>
      <t>on</t>
    </r>
  </si>
  <si>
    <t>Heh</t>
  </si>
  <si>
    <r>
      <t>SPER</t>
    </r>
    <r>
      <rPr>
        <b/>
        <vertAlign val="subscript"/>
        <sz val="12"/>
        <rFont val="Trebuchet MS"/>
        <family val="2"/>
      </rPr>
      <t>h</t>
    </r>
  </si>
  <si>
    <r>
      <rPr>
        <b/>
        <sz val="16"/>
        <rFont val="Calibri"/>
        <family val="2"/>
      </rPr>
      <t>η</t>
    </r>
    <r>
      <rPr>
        <b/>
        <sz val="12"/>
        <rFont val="Trebuchet MS"/>
        <family val="2"/>
      </rPr>
      <t>s</t>
    </r>
  </si>
  <si>
    <t>(kWh)</t>
  </si>
  <si>
    <t xml:space="preserve">Power input </t>
  </si>
  <si>
    <t>P * h</t>
  </si>
  <si>
    <t>Power input</t>
  </si>
  <si>
    <t>F1</t>
  </si>
  <si>
    <t>F2</t>
  </si>
  <si>
    <t>O</t>
  </si>
  <si>
    <t>NA</t>
  </si>
  <si>
    <t>P declared</t>
  </si>
  <si>
    <t>GUE</t>
  </si>
  <si>
    <t>aef</t>
  </si>
  <si>
    <t>Hec</t>
  </si>
  <si>
    <t>Cooling load covered by 
the heat pump</t>
  </si>
  <si>
    <t>Cooling demand</t>
  </si>
  <si>
    <t>Operating modes for cooling only</t>
  </si>
  <si>
    <t>Annual cooling demand</t>
  </si>
  <si>
    <t xml:space="preserve">Annual gas 
input </t>
  </si>
  <si>
    <t>Annual electricity 
input f</t>
  </si>
  <si>
    <t>AEFc(Tj)</t>
  </si>
  <si>
    <t>GUEc(Tj)</t>
  </si>
  <si>
    <t>Pc(tj)</t>
  </si>
  <si>
    <r>
      <t xml:space="preserve">hj * </t>
    </r>
    <r>
      <rPr>
        <i/>
        <sz val="12"/>
        <rFont val="Trebuchet MS"/>
        <family val="2"/>
      </rPr>
      <t>f</t>
    </r>
    <r>
      <rPr>
        <vertAlign val="subscript"/>
        <sz val="12"/>
        <rFont val="Trebuchet MS"/>
        <family val="2"/>
      </rPr>
      <t>on</t>
    </r>
    <r>
      <rPr>
        <sz val="12"/>
        <rFont val="Trebuchet MS"/>
        <family val="2"/>
      </rPr>
      <t>*Pc(Tj)</t>
    </r>
  </si>
  <si>
    <t>SAEFc</t>
  </si>
  <si>
    <r>
      <t>SAEFc</t>
    </r>
    <r>
      <rPr>
        <b/>
        <vertAlign val="subscript"/>
        <sz val="12"/>
        <rFont val="Trebuchet MS"/>
        <family val="2"/>
      </rPr>
      <t>on</t>
    </r>
  </si>
  <si>
    <t>Calculation of energy efficiency - COOLING - Average climate</t>
  </si>
  <si>
    <t>Calculation of energy efficiency - HEATING - Average climate</t>
  </si>
  <si>
    <r>
      <t>Calculation of energy efficiency - HEATING -</t>
    </r>
    <r>
      <rPr>
        <sz val="14"/>
        <color rgb="FFFF0000"/>
        <rFont val="Trebuchet MS"/>
        <family val="2"/>
      </rPr>
      <t xml:space="preserve"> </t>
    </r>
    <r>
      <rPr>
        <b/>
        <sz val="14"/>
        <color rgb="FFFF0000"/>
        <rFont val="Trebuchet MS"/>
        <family val="2"/>
      </rPr>
      <t>Average climate</t>
    </r>
  </si>
  <si>
    <t>chek Pdes</t>
  </si>
  <si>
    <t>Chek Tbiv</t>
  </si>
  <si>
    <t>Chek TOL</t>
  </si>
  <si>
    <t>Chek dati</t>
  </si>
  <si>
    <t>Chek Aux.</t>
  </si>
  <si>
    <t>Chek list:</t>
  </si>
  <si>
    <r>
      <t>η</t>
    </r>
    <r>
      <rPr>
        <vertAlign val="subscript"/>
        <sz val="12"/>
        <color theme="0"/>
        <rFont val="Trebuchet MS"/>
        <family val="2"/>
      </rPr>
      <t xml:space="preserve">30% </t>
    </r>
    <r>
      <rPr>
        <b/>
        <vertAlign val="subscript"/>
        <sz val="12"/>
        <color theme="0"/>
        <rFont val="Trebuchet MS"/>
        <family val="2"/>
      </rPr>
      <t>(GCV)</t>
    </r>
  </si>
  <si>
    <r>
      <t>η</t>
    </r>
    <r>
      <rPr>
        <vertAlign val="subscript"/>
        <sz val="12"/>
        <color theme="0"/>
        <rFont val="Trebuchet MS"/>
        <family val="2"/>
      </rPr>
      <t xml:space="preserve">100% </t>
    </r>
    <r>
      <rPr>
        <b/>
        <vertAlign val="subscript"/>
        <sz val="12"/>
        <color theme="0"/>
        <rFont val="Trebuchet MS"/>
        <family val="2"/>
      </rPr>
      <t>(GCV)</t>
    </r>
  </si>
  <si>
    <r>
      <t>e</t>
    </r>
    <r>
      <rPr>
        <vertAlign val="subscript"/>
        <sz val="12"/>
        <color theme="0"/>
        <rFont val="Trebuchet MS"/>
        <family val="2"/>
      </rPr>
      <t>Aux</t>
    </r>
  </si>
  <si>
    <r>
      <t xml:space="preserve"> Prim</t>
    </r>
    <r>
      <rPr>
        <vertAlign val="subscript"/>
        <sz val="12"/>
        <color theme="0"/>
        <rFont val="Trebuchet MS"/>
        <family val="2"/>
      </rPr>
      <t xml:space="preserve">GAS </t>
    </r>
    <r>
      <rPr>
        <sz val="12"/>
        <color theme="0"/>
        <rFont val="Trebuchet MS"/>
        <family val="2"/>
      </rPr>
      <t>(GCV)</t>
    </r>
  </si>
  <si>
    <r>
      <t>Prim</t>
    </r>
    <r>
      <rPr>
        <vertAlign val="subscript"/>
        <sz val="12"/>
        <color theme="0"/>
        <rFont val="Trebuchet MS"/>
        <family val="2"/>
      </rPr>
      <t>elec</t>
    </r>
  </si>
  <si>
    <t>SGUEc</t>
  </si>
  <si>
    <t>To launch the calculations, click on "Calculate" button. If the required data for the calculations are missing or wrong, error messages will appear until all data are inserted correctly.</t>
  </si>
  <si>
    <t>To reset all calculations, click on "Reset" button: all input data and calculations will be reset</t>
  </si>
  <si>
    <t>This tool has been developed by POLITECNICO DI MILANO by the use of Microsoft Excel 2013 version 15.0.5233.1000 (64 bit). The tool shall be used by the empowered certification bodies of the Heat Pump Keymark product certification scheme and maybe used by manufacturers in order to calculate their performance in a consistence with the certification bodies. Neither the developer nor the Heat Pump Keymark may be held responsible for any errors that may occur from the use of the tool.</t>
  </si>
  <si>
    <t>Version date: 2020-04-20</t>
  </si>
  <si>
    <t>HEATING Mode: three tabs. One per climate (average, colder, warmer)</t>
  </si>
  <si>
    <t>COOLING Mode: one tab for average climate.</t>
  </si>
  <si>
    <t>From row 1 to 31 : Input data for calculating SGUEh and SGUEc</t>
  </si>
  <si>
    <t>All coloured cells shall be filled in, because they are used for the calculations.</t>
  </si>
  <si>
    <t>Cells of columns B to D are blocked and values cannot be changed</t>
  </si>
  <si>
    <t>Results : Energy efficiency</t>
  </si>
  <si>
    <r>
      <t xml:space="preserve">The final results are: 
</t>
    </r>
    <r>
      <rPr>
        <i/>
        <sz val="12"/>
        <rFont val="Arial"/>
        <family val="2"/>
      </rPr>
      <t>Heating:</t>
    </r>
    <r>
      <rPr>
        <sz val="12"/>
        <rFont val="Arial"/>
        <family val="2"/>
      </rPr>
      <t xml:space="preserve"> SGUEh</t>
    </r>
    <r>
      <rPr>
        <vertAlign val="subscript"/>
        <sz val="12"/>
        <rFont val="Arial"/>
        <family val="2"/>
      </rPr>
      <t>net</t>
    </r>
    <r>
      <rPr>
        <sz val="12"/>
        <rFont val="Arial"/>
        <family val="2"/>
      </rPr>
      <t>, SAEFh</t>
    </r>
    <r>
      <rPr>
        <vertAlign val="subscript"/>
        <sz val="12"/>
        <rFont val="Arial"/>
        <family val="2"/>
      </rPr>
      <t>net</t>
    </r>
    <r>
      <rPr>
        <sz val="12"/>
        <rFont val="Arial"/>
        <family val="2"/>
      </rPr>
      <t xml:space="preserve"> SPERh</t>
    </r>
    <r>
      <rPr>
        <vertAlign val="subscript"/>
        <sz val="12"/>
        <rFont val="Arial"/>
        <family val="2"/>
      </rPr>
      <t>net</t>
    </r>
    <r>
      <rPr>
        <sz val="12"/>
        <rFont val="Arial"/>
        <family val="2"/>
      </rPr>
      <t>, SGUEh, SAEF, SAEFh</t>
    </r>
    <r>
      <rPr>
        <vertAlign val="subscript"/>
        <sz val="12"/>
        <rFont val="Arial"/>
        <family val="2"/>
      </rPr>
      <t>on</t>
    </r>
    <r>
      <rPr>
        <sz val="12"/>
        <rFont val="Arial"/>
        <family val="2"/>
      </rPr>
      <t xml:space="preserve">, SPERh, </t>
    </r>
    <r>
      <rPr>
        <sz val="12"/>
        <rFont val="Symbol"/>
        <family val="1"/>
        <charset val="2"/>
      </rPr>
      <t>h</t>
    </r>
    <r>
      <rPr>
        <sz val="12"/>
        <rFont val="Arial"/>
        <family val="2"/>
      </rPr>
      <t xml:space="preserve">s according to ErP regulation;
</t>
    </r>
    <r>
      <rPr>
        <i/>
        <sz val="12"/>
        <rFont val="Arial"/>
        <family val="2"/>
      </rPr>
      <t>Cooling:</t>
    </r>
    <r>
      <rPr>
        <sz val="12"/>
        <rFont val="Arial"/>
        <family val="2"/>
      </rPr>
      <t xml:space="preserve"> SGUEc, SAEFc</t>
    </r>
    <r>
      <rPr>
        <vertAlign val="subscript"/>
        <sz val="12"/>
        <rFont val="Arial"/>
        <family val="2"/>
      </rPr>
      <t>on</t>
    </r>
    <r>
      <rPr>
        <sz val="12"/>
        <rFont val="Arial"/>
        <family val="2"/>
      </rPr>
      <t>, SAEFc.</t>
    </r>
  </si>
  <si>
    <t>Warning messages</t>
  </si>
  <si>
    <t>In case no data are provided for backup heater and/or for primary energy factors, a warning message appear to advise that default value are used for the calculation</t>
  </si>
  <si>
    <t>(kW)</t>
  </si>
  <si>
    <t>It provides a list of all missing or wrong values. It is updated as soon as the data are filled in.</t>
  </si>
  <si>
    <t>water-to-water</t>
  </si>
  <si>
    <t>Correction Factors</t>
  </si>
  <si>
    <t>cooling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</si>
</sst>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b/>
      <sz val="12"/>
      <name val="Arial"/>
      <family val="2"/>
    </font>
    <font>
      <sz val="12"/>
      <name val="Arial"/>
      <family val="2"/>
    </font>
    <font>
      <b/>
      <sz val="12"/>
      <color rgb="FFFF0000"/>
      <name val="Arial"/>
      <family val="2"/>
    </font>
    <font>
      <sz val="12"/>
      <color rgb="FFFF0000"/>
      <name val="Arial"/>
      <family val="2"/>
    </font>
    <font>
      <sz val="12"/>
      <name val="Trebuchet MS"/>
      <family val="2"/>
    </font>
    <font>
      <b/>
      <sz val="14"/>
      <color rgb="FFFF0000"/>
      <name val="Trebuchet MS"/>
      <family val="2"/>
    </font>
    <font>
      <b/>
      <sz val="12"/>
      <name val="Trebuchet MS"/>
      <family val="2"/>
    </font>
    <font>
      <b/>
      <sz val="12"/>
      <color indexed="10"/>
      <name val="Trebuchet MS"/>
      <family val="2"/>
    </font>
    <font>
      <b/>
      <sz val="14"/>
      <name val="Trebuchet MS"/>
      <family val="2"/>
    </font>
    <font>
      <b/>
      <sz val="12"/>
      <color rgb="FFFF0000"/>
      <name val="Trebuchet MS"/>
      <family val="2"/>
    </font>
    <font>
      <sz val="10"/>
      <name val="Arial"/>
      <family val="2"/>
    </font>
    <font>
      <vertAlign val="subscript"/>
      <sz val="12"/>
      <name val="Trebuchet MS"/>
      <family val="2"/>
    </font>
    <font>
      <b/>
      <vertAlign val="subscript"/>
      <sz val="12"/>
      <name val="Trebuchet MS"/>
      <family val="2"/>
    </font>
    <font>
      <b/>
      <sz val="16"/>
      <name val="Calibri"/>
      <family val="2"/>
    </font>
    <font>
      <sz val="12"/>
      <color rgb="FFFF0000"/>
      <name val="Trebuchet MS"/>
      <family val="2"/>
    </font>
    <font>
      <i/>
      <sz val="12"/>
      <name val="Trebuchet MS"/>
      <family val="2"/>
    </font>
    <font>
      <sz val="14"/>
      <color rgb="FFFF0000"/>
      <name val="Trebuchet MS"/>
      <family val="2"/>
    </font>
    <font>
      <b/>
      <sz val="14"/>
      <color theme="1"/>
      <name val="Calibri"/>
      <family val="2"/>
      <scheme val="minor"/>
    </font>
    <font>
      <sz val="11"/>
      <color rgb="FFFF0000"/>
      <name val="Calibri"/>
      <family val="2"/>
      <scheme val="minor"/>
    </font>
    <font>
      <sz val="11"/>
      <color theme="0"/>
      <name val="Calibri"/>
      <family val="2"/>
      <scheme val="minor"/>
    </font>
    <font>
      <sz val="12"/>
      <color theme="0"/>
      <name val="Trebuchet MS"/>
      <family val="2"/>
    </font>
    <font>
      <vertAlign val="subscript"/>
      <sz val="12"/>
      <color theme="0"/>
      <name val="Trebuchet MS"/>
      <family val="2"/>
    </font>
    <font>
      <b/>
      <vertAlign val="subscript"/>
      <sz val="12"/>
      <color theme="0"/>
      <name val="Trebuchet MS"/>
      <family val="2"/>
    </font>
    <font>
      <sz val="12"/>
      <color theme="0"/>
      <name val="Arial"/>
      <family val="2"/>
    </font>
    <font>
      <i/>
      <sz val="12"/>
      <name val="Arial"/>
      <family val="2"/>
    </font>
    <font>
      <vertAlign val="subscript"/>
      <sz val="12"/>
      <name val="Arial"/>
      <family val="2"/>
    </font>
    <font>
      <sz val="12"/>
      <name val="Symbol"/>
      <family val="1"/>
      <charset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rgb="FFEAEAEA"/>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12" fillId="0" borderId="0"/>
  </cellStyleXfs>
  <cellXfs count="211">
    <xf numFmtId="0" fontId="0" fillId="0" borderId="0" xfId="0"/>
    <xf numFmtId="0" fontId="3" fillId="0" borderId="0" xfId="0" applyFont="1"/>
    <xf numFmtId="0" fontId="6" fillId="4" borderId="4"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2" fontId="6" fillId="5" borderId="4" xfId="0" applyNumberFormat="1" applyFont="1" applyFill="1" applyBorder="1" applyAlignment="1" applyProtection="1">
      <alignment horizontal="center" vertical="center" wrapText="1"/>
      <protection locked="0"/>
    </xf>
    <xf numFmtId="2" fontId="6" fillId="4" borderId="4" xfId="0" applyNumberFormat="1" applyFont="1" applyFill="1" applyBorder="1" applyAlignment="1" applyProtection="1">
      <alignment horizontal="center" vertical="center" wrapText="1"/>
      <protection locked="0"/>
    </xf>
    <xf numFmtId="2" fontId="6" fillId="4" borderId="4" xfId="2" applyNumberFormat="1" applyFont="1" applyFill="1" applyBorder="1" applyAlignment="1" applyProtection="1">
      <alignment horizontal="center" vertical="center"/>
      <protection locked="0"/>
    </xf>
    <xf numFmtId="2" fontId="6" fillId="5" borderId="4" xfId="2" applyNumberFormat="1" applyFont="1" applyFill="1" applyBorder="1" applyAlignment="1" applyProtection="1">
      <alignment horizontal="center" vertical="center"/>
      <protection locked="0"/>
    </xf>
    <xf numFmtId="1" fontId="6" fillId="5" borderId="4" xfId="0" applyNumberFormat="1" applyFont="1" applyFill="1" applyBorder="1" applyAlignment="1" applyProtection="1">
      <alignment horizontal="center" vertical="center" wrapText="1"/>
      <protection locked="0"/>
    </xf>
    <xf numFmtId="1" fontId="6" fillId="4" borderId="4" xfId="0" applyNumberFormat="1"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protection locked="0"/>
    </xf>
    <xf numFmtId="2" fontId="6" fillId="6" borderId="4" xfId="2" applyNumberFormat="1"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1" fontId="6" fillId="7" borderId="4" xfId="0" applyNumberFormat="1" applyFont="1" applyFill="1" applyBorder="1" applyAlignment="1" applyProtection="1">
      <alignment horizontal="center" vertical="center" wrapText="1"/>
      <protection locked="0"/>
    </xf>
    <xf numFmtId="2" fontId="6" fillId="7" borderId="4" xfId="0" applyNumberFormat="1" applyFont="1" applyFill="1" applyBorder="1" applyAlignment="1" applyProtection="1">
      <alignment horizontal="center" vertical="center" wrapText="1"/>
      <protection locked="0"/>
    </xf>
    <xf numFmtId="2" fontId="6" fillId="7" borderId="4" xfId="2" applyNumberFormat="1"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7" fillId="3" borderId="0" xfId="0" applyFont="1" applyFill="1" applyAlignment="1" applyProtection="1">
      <alignment horizontal="left" vertical="center"/>
      <protection hidden="1"/>
    </xf>
    <xf numFmtId="0" fontId="6" fillId="3" borderId="0" xfId="0" applyFont="1" applyFill="1" applyAlignment="1" applyProtection="1">
      <alignment horizontal="center" vertical="center"/>
      <protection hidden="1"/>
    </xf>
    <xf numFmtId="0" fontId="0" fillId="3" borderId="0" xfId="0" applyFill="1" applyProtection="1">
      <protection hidden="1"/>
    </xf>
    <xf numFmtId="0" fontId="8" fillId="3" borderId="0" xfId="0" applyFont="1" applyFill="1" applyAlignment="1" applyProtection="1">
      <alignment horizontal="center" vertical="center"/>
      <protection hidden="1"/>
    </xf>
    <xf numFmtId="0" fontId="0" fillId="0" borderId="0" xfId="0" applyProtection="1">
      <protection hidden="1"/>
    </xf>
    <xf numFmtId="0" fontId="21" fillId="0" borderId="0" xfId="0" applyFont="1" applyFill="1" applyProtection="1">
      <protection hidden="1"/>
    </xf>
    <xf numFmtId="0" fontId="9" fillId="3" borderId="0" xfId="0" applyFont="1" applyFill="1" applyAlignment="1" applyProtection="1">
      <alignment horizontal="center" vertical="center"/>
      <protection hidden="1"/>
    </xf>
    <xf numFmtId="0" fontId="6" fillId="0" borderId="0" xfId="0" applyFont="1" applyAlignment="1" applyProtection="1">
      <alignment horizontal="center" vertical="center"/>
      <protection hidden="1"/>
    </xf>
    <xf numFmtId="0" fontId="6" fillId="3" borderId="0" xfId="0" applyFont="1" applyFill="1" applyBorder="1" applyAlignment="1" applyProtection="1">
      <alignment vertical="center" wrapText="1"/>
      <protection hidden="1"/>
    </xf>
    <xf numFmtId="0" fontId="6" fillId="0" borderId="4" xfId="0" applyFont="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4" xfId="0" applyFont="1" applyFill="1" applyBorder="1" applyAlignment="1" applyProtection="1">
      <alignment vertical="center" wrapText="1"/>
      <protection hidden="1"/>
    </xf>
    <xf numFmtId="0" fontId="8" fillId="0" borderId="4" xfId="0" quotePrefix="1" applyFont="1" applyFill="1" applyBorder="1" applyAlignment="1" applyProtection="1">
      <alignment horizontal="center" vertical="center" wrapText="1"/>
      <protection hidden="1"/>
    </xf>
    <xf numFmtId="2" fontId="6" fillId="3" borderId="4" xfId="2" applyNumberFormat="1" applyFont="1" applyFill="1" applyBorder="1" applyAlignment="1" applyProtection="1">
      <alignment horizontal="center" vertical="center"/>
      <protection hidden="1"/>
    </xf>
    <xf numFmtId="0" fontId="6" fillId="0" borderId="4" xfId="0" quotePrefix="1"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19" fillId="3" borderId="0" xfId="0" applyFont="1" applyFill="1" applyProtection="1">
      <protection hidden="1"/>
    </xf>
    <xf numFmtId="0" fontId="8" fillId="0" borderId="4" xfId="0" applyFont="1" applyFill="1" applyBorder="1" applyAlignment="1" applyProtection="1">
      <alignment horizontal="center" vertical="center"/>
      <protection hidden="1"/>
    </xf>
    <xf numFmtId="0" fontId="16" fillId="8" borderId="0" xfId="0" applyFont="1" applyFill="1" applyAlignment="1" applyProtection="1">
      <alignment horizontal="left" vertical="center"/>
      <protection hidden="1"/>
    </xf>
    <xf numFmtId="0" fontId="20" fillId="8" borderId="0" xfId="0" applyFont="1" applyFill="1" applyProtection="1">
      <protection hidden="1"/>
    </xf>
    <xf numFmtId="1" fontId="6" fillId="0" borderId="4" xfId="0" applyNumberFormat="1" applyFont="1" applyBorder="1" applyAlignment="1" applyProtection="1">
      <alignment horizontal="center" vertical="center" wrapText="1"/>
      <protection hidden="1"/>
    </xf>
    <xf numFmtId="2" fontId="22" fillId="0" borderId="0" xfId="2" applyNumberFormat="1" applyFont="1" applyFill="1" applyBorder="1" applyAlignment="1" applyProtection="1">
      <alignment horizontal="center" vertical="center"/>
      <protection hidden="1"/>
    </xf>
    <xf numFmtId="0" fontId="16" fillId="8" borderId="0" xfId="0" applyFont="1" applyFill="1" applyBorder="1" applyAlignment="1" applyProtection="1">
      <alignment horizontal="left" vertical="center"/>
      <protection hidden="1"/>
    </xf>
    <xf numFmtId="0" fontId="6" fillId="3" borderId="0"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protection hidden="1"/>
    </xf>
    <xf numFmtId="9" fontId="6" fillId="3" borderId="4" xfId="1" applyFont="1" applyFill="1" applyBorder="1" applyAlignment="1" applyProtection="1">
      <alignment horizontal="center" vertical="center"/>
      <protection hidden="1"/>
    </xf>
    <xf numFmtId="2" fontId="6" fillId="3" borderId="4" xfId="0" applyNumberFormat="1" applyFont="1" applyFill="1" applyBorder="1" applyAlignment="1" applyProtection="1">
      <alignment horizontal="center" vertical="center"/>
      <protection hidden="1"/>
    </xf>
    <xf numFmtId="2" fontId="9" fillId="0" borderId="4" xfId="0" applyNumberFormat="1" applyFont="1" applyFill="1" applyBorder="1" applyAlignment="1" applyProtection="1">
      <alignment horizontal="center" vertical="center"/>
      <protection hidden="1"/>
    </xf>
    <xf numFmtId="2" fontId="11" fillId="0" borderId="4" xfId="0" applyNumberFormat="1" applyFont="1" applyBorder="1" applyAlignment="1" applyProtection="1">
      <alignment horizontal="center" vertical="center"/>
      <protection hidden="1"/>
    </xf>
    <xf numFmtId="1" fontId="6" fillId="3" borderId="4" xfId="0" applyNumberFormat="1" applyFont="1" applyFill="1" applyBorder="1" applyAlignment="1" applyProtection="1">
      <alignment horizontal="center" vertical="center"/>
      <protection hidden="1"/>
    </xf>
    <xf numFmtId="2" fontId="6" fillId="3" borderId="0" xfId="0" applyNumberFormat="1" applyFont="1" applyFill="1" applyAlignment="1" applyProtection="1">
      <alignment horizontal="center" vertical="center" wrapText="1"/>
      <protection hidden="1"/>
    </xf>
    <xf numFmtId="0" fontId="8" fillId="3" borderId="0" xfId="0" applyFont="1" applyFill="1" applyBorder="1" applyAlignment="1" applyProtection="1">
      <alignment vertical="center"/>
      <protection hidden="1"/>
    </xf>
    <xf numFmtId="0" fontId="6" fillId="3" borderId="0" xfId="0"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1" fontId="6" fillId="0" borderId="4" xfId="0" applyNumberFormat="1" applyFont="1" applyFill="1" applyBorder="1" applyAlignment="1" applyProtection="1">
      <alignment horizontal="center" vertical="center"/>
      <protection hidden="1"/>
    </xf>
    <xf numFmtId="2" fontId="8" fillId="3" borderId="4" xfId="0" applyNumberFormat="1" applyFont="1" applyFill="1" applyBorder="1" applyAlignment="1" applyProtection="1">
      <alignment horizontal="center" vertical="center" wrapText="1"/>
      <protection hidden="1"/>
    </xf>
    <xf numFmtId="1" fontId="6" fillId="3" borderId="4" xfId="0" applyNumberFormat="1" applyFont="1" applyFill="1" applyBorder="1" applyAlignment="1" applyProtection="1">
      <alignment horizontal="center" vertical="center" wrapText="1"/>
      <protection hidden="1"/>
    </xf>
    <xf numFmtId="2" fontId="6" fillId="3" borderId="4" xfId="0" applyNumberFormat="1"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hidden="1"/>
    </xf>
    <xf numFmtId="0" fontId="6" fillId="3" borderId="18" xfId="0" applyFont="1" applyFill="1" applyBorder="1" applyAlignment="1" applyProtection="1">
      <alignment horizontal="center" vertical="center" wrapText="1"/>
      <protection hidden="1"/>
    </xf>
    <xf numFmtId="0" fontId="6" fillId="3" borderId="20"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31"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protection hidden="1"/>
    </xf>
    <xf numFmtId="0" fontId="6" fillId="0" borderId="4" xfId="0" applyFont="1" applyFill="1" applyBorder="1" applyAlignment="1" applyProtection="1">
      <alignment horizontal="center" vertical="center" wrapText="1"/>
      <protection hidden="1"/>
    </xf>
    <xf numFmtId="0" fontId="6" fillId="3" borderId="23" xfId="0" applyFont="1" applyFill="1" applyBorder="1" applyAlignment="1" applyProtection="1">
      <alignment horizontal="center" vertical="center" wrapText="1"/>
      <protection hidden="1"/>
    </xf>
    <xf numFmtId="0" fontId="6" fillId="3" borderId="14" xfId="0" applyFont="1" applyFill="1" applyBorder="1" applyAlignment="1" applyProtection="1">
      <alignment horizontal="center" vertical="center" wrapText="1"/>
      <protection hidden="1"/>
    </xf>
    <xf numFmtId="0" fontId="6" fillId="3" borderId="15" xfId="0" applyFont="1" applyFill="1" applyBorder="1" applyAlignment="1" applyProtection="1">
      <alignment horizontal="center" vertical="center" wrapText="1"/>
      <protection hidden="1"/>
    </xf>
    <xf numFmtId="0" fontId="6" fillId="3" borderId="16"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9" fontId="6" fillId="0" borderId="15" xfId="1" applyFont="1" applyFill="1" applyBorder="1" applyAlignment="1" applyProtection="1">
      <alignment horizontal="center" vertical="center" wrapText="1"/>
      <protection hidden="1"/>
    </xf>
    <xf numFmtId="2" fontId="6" fillId="0" borderId="14" xfId="0" applyNumberFormat="1" applyFont="1" applyFill="1" applyBorder="1" applyAlignment="1" applyProtection="1">
      <alignment horizontal="center" vertical="center" wrapText="1"/>
      <protection hidden="1"/>
    </xf>
    <xf numFmtId="2" fontId="6" fillId="0" borderId="4" xfId="0" applyNumberFormat="1" applyFont="1" applyFill="1" applyBorder="1" applyAlignment="1" applyProtection="1">
      <alignment horizontal="center" vertical="center" wrapText="1"/>
      <protection hidden="1"/>
    </xf>
    <xf numFmtId="2" fontId="6" fillId="0" borderId="15" xfId="0" applyNumberFormat="1" applyFont="1" applyFill="1" applyBorder="1" applyAlignment="1" applyProtection="1">
      <alignment horizontal="center" vertical="center" wrapText="1"/>
      <protection hidden="1"/>
    </xf>
    <xf numFmtId="2" fontId="6" fillId="0" borderId="7" xfId="0" applyNumberFormat="1" applyFont="1" applyFill="1" applyBorder="1" applyAlignment="1" applyProtection="1">
      <alignment horizontal="center" vertical="center" wrapText="1"/>
      <protection hidden="1"/>
    </xf>
    <xf numFmtId="2" fontId="0" fillId="3" borderId="0" xfId="0" applyNumberFormat="1" applyFill="1" applyProtection="1">
      <protection hidden="1"/>
    </xf>
    <xf numFmtId="2" fontId="21" fillId="0" borderId="0" xfId="0" applyNumberFormat="1" applyFont="1" applyFill="1" applyProtection="1">
      <protection hidden="1"/>
    </xf>
    <xf numFmtId="0" fontId="6" fillId="0" borderId="25"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9" fontId="6" fillId="0" borderId="27" xfId="1" applyFont="1" applyFill="1" applyBorder="1" applyAlignment="1" applyProtection="1">
      <alignment horizontal="center" vertical="center" wrapText="1"/>
      <protection hidden="1"/>
    </xf>
    <xf numFmtId="2" fontId="6" fillId="0" borderId="25" xfId="0" applyNumberFormat="1" applyFont="1" applyFill="1" applyBorder="1" applyAlignment="1" applyProtection="1">
      <alignment horizontal="center" vertical="center" wrapText="1"/>
      <protection hidden="1"/>
    </xf>
    <xf numFmtId="2" fontId="6" fillId="0" borderId="26" xfId="0" applyNumberFormat="1" applyFont="1" applyFill="1" applyBorder="1" applyAlignment="1" applyProtection="1">
      <alignment horizontal="center" vertical="center" wrapText="1"/>
      <protection hidden="1"/>
    </xf>
    <xf numFmtId="2" fontId="6" fillId="0" borderId="27" xfId="0" applyNumberFormat="1" applyFont="1" applyFill="1" applyBorder="1" applyAlignment="1" applyProtection="1">
      <alignment horizontal="center" vertical="center" wrapText="1"/>
      <protection hidden="1"/>
    </xf>
    <xf numFmtId="2" fontId="6" fillId="0" borderId="30" xfId="0" applyNumberFormat="1"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protection hidden="1"/>
    </xf>
    <xf numFmtId="1" fontId="8" fillId="3" borderId="0" xfId="0" applyNumberFormat="1" applyFont="1" applyFill="1" applyBorder="1" applyAlignment="1" applyProtection="1">
      <alignment horizontal="center" vertical="center"/>
      <protection hidden="1"/>
    </xf>
    <xf numFmtId="2" fontId="8" fillId="3" borderId="0" xfId="0" applyNumberFormat="1" applyFont="1" applyFill="1" applyBorder="1" applyAlignment="1" applyProtection="1">
      <alignment horizontal="center" vertical="center"/>
      <protection hidden="1"/>
    </xf>
    <xf numFmtId="9" fontId="6" fillId="3" borderId="0" xfId="1" applyFont="1" applyFill="1" applyAlignment="1" applyProtection="1">
      <alignment horizontal="center" vertical="center"/>
      <protection hidden="1"/>
    </xf>
    <xf numFmtId="0" fontId="22" fillId="0" borderId="0" xfId="0" applyFont="1" applyFill="1" applyAlignment="1" applyProtection="1">
      <alignment horizontal="center" vertical="center"/>
      <protection hidden="1"/>
    </xf>
    <xf numFmtId="9" fontId="6" fillId="0" borderId="0" xfId="1" applyFont="1" applyAlignment="1" applyProtection="1">
      <alignment horizontal="center" vertical="center"/>
      <protection hidden="1"/>
    </xf>
    <xf numFmtId="0" fontId="16" fillId="9" borderId="0" xfId="0" applyFont="1" applyFill="1" applyAlignment="1" applyProtection="1">
      <alignment horizontal="left" vertical="center"/>
      <protection hidden="1"/>
    </xf>
    <xf numFmtId="0" fontId="20" fillId="9" borderId="0" xfId="0" applyFont="1" applyFill="1" applyProtection="1">
      <protection hidden="1"/>
    </xf>
    <xf numFmtId="0" fontId="16" fillId="9" borderId="0" xfId="0" applyFont="1" applyFill="1" applyBorder="1" applyAlignment="1" applyProtection="1">
      <alignment horizontal="left" vertical="center"/>
      <protection hidden="1"/>
    </xf>
    <xf numFmtId="0" fontId="6" fillId="0" borderId="5" xfId="0" applyFont="1" applyBorder="1" applyAlignment="1" applyProtection="1">
      <alignment horizontal="center" vertical="center" wrapText="1"/>
      <protection hidden="1"/>
    </xf>
    <xf numFmtId="0" fontId="6" fillId="0" borderId="32"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3" borderId="24" xfId="0" applyFont="1" applyFill="1" applyBorder="1" applyAlignment="1" applyProtection="1">
      <alignment horizontal="center" vertical="center" wrapText="1"/>
      <protection hidden="1"/>
    </xf>
    <xf numFmtId="9" fontId="6" fillId="0" borderId="5" xfId="1" applyFont="1" applyFill="1" applyBorder="1" applyAlignment="1" applyProtection="1">
      <alignment horizontal="center" vertical="center" wrapText="1"/>
      <protection hidden="1"/>
    </xf>
    <xf numFmtId="0" fontId="6" fillId="3" borderId="33" xfId="0" applyFont="1" applyFill="1" applyBorder="1" applyAlignment="1" applyProtection="1">
      <alignment horizontal="center" vertical="center" wrapText="1"/>
      <protection hidden="1"/>
    </xf>
    <xf numFmtId="9" fontId="6" fillId="0" borderId="29" xfId="1" applyFont="1" applyFill="1" applyBorder="1" applyAlignment="1" applyProtection="1">
      <alignment horizontal="center" vertical="center" wrapText="1"/>
      <protection hidden="1"/>
    </xf>
    <xf numFmtId="0" fontId="16" fillId="10" borderId="0" xfId="0" applyFont="1" applyFill="1" applyAlignment="1" applyProtection="1">
      <alignment horizontal="left" vertical="center"/>
      <protection hidden="1"/>
    </xf>
    <xf numFmtId="0" fontId="20" fillId="10" borderId="0" xfId="0" applyFont="1" applyFill="1" applyProtection="1">
      <protection hidden="1"/>
    </xf>
    <xf numFmtId="0" fontId="16" fillId="10" borderId="0" xfId="0" applyFont="1" applyFill="1" applyBorder="1" applyAlignment="1" applyProtection="1">
      <alignment horizontal="left" vertical="center"/>
      <protection hidden="1"/>
    </xf>
    <xf numFmtId="2" fontId="6" fillId="4" borderId="4" xfId="2" applyNumberFormat="1" applyFont="1" applyFill="1" applyBorder="1" applyAlignment="1" applyProtection="1">
      <alignment horizontal="center" vertical="center"/>
      <protection hidden="1"/>
    </xf>
    <xf numFmtId="0" fontId="6" fillId="3" borderId="28"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2" fontId="6" fillId="0" borderId="5" xfId="0" applyNumberFormat="1" applyFont="1" applyFill="1" applyBorder="1" applyAlignment="1" applyProtection="1">
      <alignment horizontal="center" vertical="center" wrapText="1"/>
      <protection hidden="1"/>
    </xf>
    <xf numFmtId="0" fontId="8" fillId="0" borderId="25"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protection hidden="1"/>
    </xf>
    <xf numFmtId="2" fontId="6" fillId="0" borderId="29" xfId="0" applyNumberFormat="1" applyFont="1" applyFill="1" applyBorder="1" applyAlignment="1" applyProtection="1">
      <alignment horizontal="center" vertical="center" wrapText="1"/>
      <protection hidden="1"/>
    </xf>
    <xf numFmtId="0" fontId="6" fillId="4" borderId="4" xfId="0" quotePrefix="1"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hidden="1"/>
    </xf>
    <xf numFmtId="0" fontId="8" fillId="0" borderId="4" xfId="0" quotePrefix="1" applyFont="1" applyBorder="1" applyAlignment="1" applyProtection="1">
      <alignment horizontal="center" vertical="center" wrapText="1"/>
      <protection hidden="1"/>
    </xf>
    <xf numFmtId="0" fontId="8" fillId="0" borderId="4" xfId="0" applyFont="1" applyBorder="1" applyAlignment="1" applyProtection="1">
      <alignment horizontal="center" vertical="center"/>
      <protection hidden="1"/>
    </xf>
    <xf numFmtId="0" fontId="8" fillId="3" borderId="0" xfId="0" applyFont="1" applyFill="1" applyAlignment="1" applyProtection="1">
      <alignment vertical="center"/>
      <protection hidden="1"/>
    </xf>
    <xf numFmtId="0" fontId="6" fillId="3" borderId="0" xfId="0" applyFont="1" applyFill="1" applyAlignment="1" applyProtection="1">
      <alignment horizontal="center" vertical="center" wrapText="1"/>
      <protection hidden="1"/>
    </xf>
    <xf numFmtId="1" fontId="6" fillId="0" borderId="4" xfId="0" applyNumberFormat="1" applyFont="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4" xfId="0" applyFont="1" applyFill="1" applyBorder="1" applyAlignment="1" applyProtection="1">
      <alignment horizontal="center" vertical="center"/>
      <protection hidden="1"/>
    </xf>
    <xf numFmtId="0" fontId="8" fillId="0" borderId="14" xfId="2" applyFont="1" applyBorder="1" applyAlignment="1" applyProtection="1">
      <alignment horizontal="center" vertical="center" wrapText="1"/>
      <protection hidden="1"/>
    </xf>
    <xf numFmtId="0" fontId="6" fillId="0" borderId="4" xfId="2" applyFont="1" applyBorder="1" applyAlignment="1" applyProtection="1">
      <alignment horizontal="center" vertical="center" wrapText="1"/>
      <protection hidden="1"/>
    </xf>
    <xf numFmtId="2" fontId="6" fillId="0" borderId="14" xfId="2" applyNumberFormat="1" applyFont="1" applyBorder="1" applyAlignment="1" applyProtection="1">
      <alignment horizontal="center" vertical="center" wrapText="1"/>
      <protection hidden="1"/>
    </xf>
    <xf numFmtId="2" fontId="6" fillId="0" borderId="4" xfId="2" applyNumberFormat="1" applyFont="1" applyBorder="1" applyAlignment="1" applyProtection="1">
      <alignment horizontal="center" vertical="center" wrapText="1"/>
      <protection hidden="1"/>
    </xf>
    <xf numFmtId="2" fontId="6" fillId="0" borderId="15" xfId="2" applyNumberFormat="1" applyFont="1" applyBorder="1" applyAlignment="1" applyProtection="1">
      <alignment horizontal="center" vertical="center" wrapText="1"/>
      <protection hidden="1"/>
    </xf>
    <xf numFmtId="0" fontId="8" fillId="0" borderId="25" xfId="2" applyFont="1" applyBorder="1" applyAlignment="1" applyProtection="1">
      <alignment horizontal="center" vertical="center" wrapText="1"/>
      <protection hidden="1"/>
    </xf>
    <xf numFmtId="0" fontId="6" fillId="0" borderId="26" xfId="2" applyFont="1" applyBorder="1" applyAlignment="1" applyProtection="1">
      <alignment horizontal="center" vertical="center" wrapText="1"/>
      <protection hidden="1"/>
    </xf>
    <xf numFmtId="2" fontId="6" fillId="0" borderId="25" xfId="2" applyNumberFormat="1" applyFont="1" applyBorder="1" applyAlignment="1" applyProtection="1">
      <alignment horizontal="center" vertical="center" wrapText="1"/>
      <protection hidden="1"/>
    </xf>
    <xf numFmtId="2" fontId="6" fillId="0" borderId="26" xfId="2" applyNumberFormat="1" applyFont="1" applyBorder="1" applyAlignment="1" applyProtection="1">
      <alignment horizontal="center" vertical="center" wrapText="1"/>
      <protection hidden="1"/>
    </xf>
    <xf numFmtId="2" fontId="6" fillId="0" borderId="27" xfId="2" applyNumberFormat="1" applyFont="1" applyBorder="1" applyAlignment="1" applyProtection="1">
      <alignment horizontal="center" vertical="center" wrapText="1"/>
      <protection hidden="1"/>
    </xf>
    <xf numFmtId="1" fontId="8" fillId="3" borderId="0" xfId="0" applyNumberFormat="1" applyFont="1" applyFill="1" applyAlignment="1" applyProtection="1">
      <alignment horizontal="center" vertical="center"/>
      <protection hidden="1"/>
    </xf>
    <xf numFmtId="0" fontId="20" fillId="0" borderId="0" xfId="0" applyFont="1" applyFill="1" applyProtection="1">
      <protection hidden="1"/>
    </xf>
    <xf numFmtId="0" fontId="20" fillId="0" borderId="0" xfId="0" applyFont="1" applyProtection="1">
      <protection hidden="1"/>
    </xf>
    <xf numFmtId="0" fontId="16" fillId="0" borderId="0" xfId="0" applyFont="1" applyAlignment="1" applyProtection="1">
      <alignment horizontal="center" vertical="center"/>
      <protection hidden="1"/>
    </xf>
    <xf numFmtId="1" fontId="6" fillId="0" borderId="14" xfId="2" applyNumberFormat="1" applyFont="1" applyBorder="1" applyAlignment="1" applyProtection="1">
      <alignment horizontal="center" vertical="center" wrapText="1"/>
      <protection hidden="1"/>
    </xf>
    <xf numFmtId="1" fontId="6" fillId="0" borderId="25" xfId="2" applyNumberFormat="1" applyFont="1" applyBorder="1" applyAlignment="1" applyProtection="1">
      <alignment horizontal="center" vertical="center" wrapText="1"/>
      <protection hidden="1"/>
    </xf>
    <xf numFmtId="1" fontId="6" fillId="0" borderId="4" xfId="2" applyNumberFormat="1" applyFont="1" applyBorder="1" applyAlignment="1" applyProtection="1">
      <alignment horizontal="center" vertical="center" wrapText="1"/>
      <protection hidden="1"/>
    </xf>
    <xf numFmtId="1" fontId="6" fillId="0" borderId="26" xfId="2" applyNumberFormat="1" applyFont="1" applyBorder="1" applyAlignment="1" applyProtection="1">
      <alignment horizontal="center" vertical="center" wrapText="1"/>
      <protection hidden="1"/>
    </xf>
    <xf numFmtId="0" fontId="21" fillId="0" borderId="0" xfId="0" applyFont="1" applyProtection="1">
      <protection hidden="1"/>
    </xf>
    <xf numFmtId="2" fontId="22" fillId="0" borderId="0" xfId="0" applyNumberFormat="1" applyFont="1" applyFill="1" applyAlignment="1" applyProtection="1">
      <alignment horizontal="center" vertical="center" wrapText="1"/>
      <protection hidden="1"/>
    </xf>
    <xf numFmtId="0" fontId="22" fillId="0" borderId="0" xfId="0" applyFont="1" applyAlignment="1" applyProtection="1">
      <alignment horizontal="center" vertical="center"/>
      <protection hidden="1"/>
    </xf>
    <xf numFmtId="0" fontId="3" fillId="3" borderId="0" xfId="0" applyFont="1" applyFill="1"/>
    <xf numFmtId="0" fontId="0" fillId="3" borderId="0" xfId="0" applyFill="1"/>
    <xf numFmtId="0" fontId="4" fillId="3" borderId="0" xfId="0" applyFont="1" applyFill="1"/>
    <xf numFmtId="0" fontId="3" fillId="3" borderId="0" xfId="0" applyFont="1" applyFill="1" applyProtection="1">
      <protection locked="0"/>
    </xf>
    <xf numFmtId="0" fontId="5" fillId="3" borderId="0" xfId="0" applyFont="1" applyFill="1" applyBorder="1" applyAlignment="1" applyProtection="1">
      <alignment vertical="top" wrapText="1"/>
    </xf>
    <xf numFmtId="0" fontId="21" fillId="0" borderId="0" xfId="0" applyFont="1" applyFill="1" applyAlignment="1" applyProtection="1">
      <protection hidden="1"/>
    </xf>
    <xf numFmtId="0" fontId="25" fillId="0" borderId="0" xfId="0" applyFont="1" applyFill="1" applyProtection="1">
      <protection hidden="1"/>
    </xf>
    <xf numFmtId="0" fontId="2" fillId="3" borderId="0" xfId="0" applyFont="1" applyFill="1" applyAlignment="1">
      <alignment horizontal="left"/>
    </xf>
    <xf numFmtId="0" fontId="3" fillId="3" borderId="0" xfId="0" applyFont="1" applyFill="1" applyAlignment="1">
      <alignment horizontal="left"/>
    </xf>
    <xf numFmtId="0" fontId="6" fillId="3" borderId="21" xfId="0"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3" borderId="2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164" fontId="11" fillId="0" borderId="4" xfId="0" applyNumberFormat="1" applyFont="1" applyBorder="1" applyAlignment="1" applyProtection="1">
      <alignment horizontal="center" vertical="center"/>
      <protection hidden="1"/>
    </xf>
    <xf numFmtId="164" fontId="6" fillId="2" borderId="4" xfId="0" applyNumberFormat="1" applyFont="1" applyFill="1" applyBorder="1" applyAlignment="1" applyProtection="1">
      <alignment horizontal="center" vertical="center"/>
      <protection hidden="1"/>
    </xf>
    <xf numFmtId="0" fontId="6" fillId="12" borderId="4" xfId="0" applyFont="1" applyFill="1" applyBorder="1" applyAlignment="1" applyProtection="1">
      <alignment horizontal="center" vertical="center" wrapText="1"/>
      <protection hidden="1"/>
    </xf>
    <xf numFmtId="164" fontId="6" fillId="13" borderId="4" xfId="0" applyNumberFormat="1" applyFont="1" applyFill="1" applyBorder="1" applyAlignment="1" applyProtection="1">
      <alignment horizontal="center" vertical="center"/>
      <protection locked="0"/>
    </xf>
    <xf numFmtId="0" fontId="6" fillId="13" borderId="4"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hidden="1"/>
    </xf>
    <xf numFmtId="0" fontId="6" fillId="3" borderId="34" xfId="0" applyFont="1" applyFill="1" applyBorder="1" applyAlignment="1" applyProtection="1">
      <alignment horizontal="center" vertical="center" wrapText="1"/>
      <protection hidden="1"/>
    </xf>
    <xf numFmtId="0" fontId="2" fillId="3" borderId="0" xfId="0" applyFont="1" applyFill="1" applyAlignment="1">
      <alignment horizontal="left"/>
    </xf>
    <xf numFmtId="0" fontId="3" fillId="3" borderId="0" xfId="0" applyFont="1" applyFill="1" applyAlignment="1">
      <alignment horizontal="left" wrapText="1"/>
    </xf>
    <xf numFmtId="0" fontId="3" fillId="3" borderId="0" xfId="0" applyFont="1" applyFill="1" applyAlignment="1">
      <alignment horizontal="left"/>
    </xf>
    <xf numFmtId="0" fontId="5" fillId="3" borderId="1"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8" fillId="7" borderId="12" xfId="0" applyFont="1" applyFill="1" applyBorder="1" applyAlignment="1" applyProtection="1">
      <alignment horizontal="center" vertical="center"/>
      <protection hidden="1"/>
    </xf>
    <xf numFmtId="0" fontId="8" fillId="7" borderId="11" xfId="0" applyFont="1" applyFill="1" applyBorder="1" applyAlignment="1" applyProtection="1">
      <alignment horizontal="center" vertical="center"/>
      <protection hidden="1"/>
    </xf>
    <xf numFmtId="0" fontId="8" fillId="7" borderId="10" xfId="0" applyFont="1" applyFill="1" applyBorder="1" applyAlignment="1" applyProtection="1">
      <alignment horizontal="center" vertical="center"/>
      <protection hidden="1"/>
    </xf>
    <xf numFmtId="0" fontId="6" fillId="0" borderId="13"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6" fillId="3" borderId="21" xfId="0" applyFont="1" applyFill="1" applyBorder="1" applyAlignment="1" applyProtection="1">
      <alignment horizontal="center" vertical="center" wrapText="1"/>
      <protection hidden="1"/>
    </xf>
    <xf numFmtId="0" fontId="8" fillId="7" borderId="5" xfId="0" applyFont="1" applyFill="1" applyBorder="1" applyAlignment="1" applyProtection="1">
      <alignment horizontal="center" vertical="center"/>
      <protection hidden="1"/>
    </xf>
    <xf numFmtId="0" fontId="8" fillId="7" borderId="7" xfId="0" applyFont="1" applyFill="1" applyBorder="1" applyAlignment="1" applyProtection="1">
      <alignment horizontal="center" vertical="center"/>
      <protection hidden="1"/>
    </xf>
    <xf numFmtId="0" fontId="8" fillId="7" borderId="6" xfId="0"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hidden="1"/>
    </xf>
    <xf numFmtId="0" fontId="6" fillId="7" borderId="4" xfId="0" applyFont="1" applyFill="1" applyBorder="1" applyAlignment="1" applyProtection="1">
      <alignment horizontal="center" vertical="center" wrapText="1"/>
      <protection hidden="1"/>
    </xf>
    <xf numFmtId="0" fontId="8" fillId="7" borderId="4" xfId="0" applyFont="1" applyFill="1" applyBorder="1" applyAlignment="1" applyProtection="1">
      <alignment horizontal="center" vertical="center"/>
      <protection hidden="1"/>
    </xf>
    <xf numFmtId="0" fontId="8" fillId="5" borderId="12"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hidden="1"/>
    </xf>
    <xf numFmtId="0" fontId="8" fillId="5" borderId="10" xfId="0" applyFont="1" applyFill="1" applyBorder="1" applyAlignment="1" applyProtection="1">
      <alignment horizontal="center" vertical="center"/>
      <protection hidden="1"/>
    </xf>
    <xf numFmtId="0" fontId="8" fillId="5" borderId="5"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8" fillId="5" borderId="7" xfId="0"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protection hidden="1"/>
    </xf>
    <xf numFmtId="0" fontId="6" fillId="5" borderId="4" xfId="0" applyFont="1" applyFill="1" applyBorder="1" applyAlignment="1" applyProtection="1">
      <alignment horizontal="center" vertical="center" wrapText="1"/>
      <protection hidden="1"/>
    </xf>
    <xf numFmtId="0" fontId="8" fillId="4" borderId="12" xfId="0" applyFont="1" applyFill="1" applyBorder="1" applyAlignment="1" applyProtection="1">
      <alignment horizontal="center" vertical="center"/>
      <protection hidden="1"/>
    </xf>
    <xf numFmtId="0" fontId="8" fillId="4" borderId="11" xfId="0" applyFont="1" applyFill="1" applyBorder="1" applyAlignment="1" applyProtection="1">
      <alignment horizontal="center" vertical="center"/>
      <protection hidden="1"/>
    </xf>
    <xf numFmtId="0" fontId="8" fillId="4" borderId="10" xfId="0" applyFont="1" applyFill="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8" fillId="4" borderId="6"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wrapText="1"/>
      <protection hidden="1"/>
    </xf>
    <xf numFmtId="0" fontId="8" fillId="3" borderId="0" xfId="0" applyFont="1" applyFill="1" applyAlignment="1" applyProtection="1">
      <alignment horizontal="left" vertical="center"/>
      <protection hidden="1"/>
    </xf>
    <xf numFmtId="0" fontId="8" fillId="6" borderId="5" xfId="0" applyFont="1" applyFill="1" applyBorder="1" applyAlignment="1" applyProtection="1">
      <alignment horizontal="center" vertical="center"/>
      <protection hidden="1"/>
    </xf>
    <xf numFmtId="0" fontId="8" fillId="6" borderId="7" xfId="0" applyFont="1" applyFill="1" applyBorder="1" applyAlignment="1" applyProtection="1">
      <alignment horizontal="center" vertical="center"/>
      <protection hidden="1"/>
    </xf>
    <xf numFmtId="0" fontId="8" fillId="6" borderId="6" xfId="0" applyFont="1" applyFill="1" applyBorder="1" applyAlignment="1" applyProtection="1">
      <alignment horizontal="center" vertical="center"/>
      <protection hidden="1"/>
    </xf>
    <xf numFmtId="0" fontId="16" fillId="11" borderId="0" xfId="0" applyFont="1" applyFill="1" applyAlignment="1" applyProtection="1">
      <alignment horizontal="left" vertical="center"/>
      <protection hidden="1"/>
    </xf>
    <xf numFmtId="0" fontId="6" fillId="3" borderId="22" xfId="0" applyFont="1" applyFill="1" applyBorder="1" applyAlignment="1" applyProtection="1">
      <alignment horizontal="center" vertical="center" wrapText="1"/>
      <protection hidden="1"/>
    </xf>
    <xf numFmtId="0" fontId="8" fillId="6" borderId="8" xfId="0" applyFont="1" applyFill="1" applyBorder="1" applyAlignment="1" applyProtection="1">
      <alignment horizontal="center" vertical="center"/>
      <protection hidden="1"/>
    </xf>
    <xf numFmtId="0" fontId="8" fillId="6" borderId="4" xfId="0" applyFont="1" applyFill="1" applyBorder="1" applyAlignment="1" applyProtection="1">
      <alignment horizontal="center" vertical="center"/>
      <protection hidden="1"/>
    </xf>
  </cellXfs>
  <cellStyles count="3">
    <cellStyle name="Normal" xfId="0" builtinId="0"/>
    <cellStyle name="Normal 2" xfId="2"/>
    <cellStyle name="Pourcentage" xfId="1" builtinId="5"/>
  </cellStyles>
  <dxfs count="6">
    <dxf>
      <font>
        <b/>
        <i val="0"/>
        <color rgb="FFFF0000"/>
      </font>
      <fill>
        <patternFill>
          <bgColor theme="7" tint="0.39994506668294322"/>
        </patternFill>
      </fill>
    </dxf>
    <dxf>
      <font>
        <color rgb="FF9C0006"/>
      </font>
      <fill>
        <patternFill>
          <bgColor rgb="FFFFC7CE"/>
        </patternFill>
      </fill>
    </dxf>
    <dxf>
      <font>
        <b/>
        <i val="0"/>
        <color rgb="FFFF0000"/>
      </font>
      <fill>
        <patternFill>
          <bgColor theme="5" tint="0.59996337778862885"/>
        </patternFill>
      </fill>
    </dxf>
    <dxf>
      <font>
        <b/>
        <i val="0"/>
        <color rgb="FFFF0000"/>
      </font>
      <fill>
        <patternFill>
          <bgColor theme="4" tint="0.59996337778862885"/>
        </patternFill>
      </fill>
    </dxf>
    <dxf>
      <font>
        <color rgb="FF9C0006"/>
      </font>
      <fill>
        <patternFill>
          <bgColor rgb="FFFFC7CE"/>
        </patternFill>
      </fill>
    </dxf>
    <dxf>
      <font>
        <b/>
        <i val="0"/>
        <color rgb="FFFF0000"/>
      </font>
      <fill>
        <patternFill>
          <fgColor auto="1"/>
          <bgColor theme="9" tint="0.39991454817346722"/>
        </patternFill>
      </fill>
    </dxf>
  </dxfs>
  <tableStyles count="0" defaultTableStyle="TableStyleMedium2" defaultPivotStyle="PivotStyleLight16"/>
  <colors>
    <mruColors>
      <color rgb="FFEAEAEA"/>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287644</xdr:colOff>
      <xdr:row>10</xdr:row>
      <xdr:rowOff>188257</xdr:rowOff>
    </xdr:from>
    <xdr:to>
      <xdr:col>9</xdr:col>
      <xdr:colOff>775607</xdr:colOff>
      <xdr:row>13</xdr:row>
      <xdr:rowOff>124486</xdr:rowOff>
    </xdr:to>
    <xdr:sp macro="[0]!Calculate_Average.Calculate_Average" textlink="">
      <xdr:nvSpPr>
        <xdr:cNvPr id="4" name="ZoneTexte 6">
          <a:extLst>
            <a:ext uri="{FF2B5EF4-FFF2-40B4-BE49-F238E27FC236}">
              <a16:creationId xmlns="" xmlns:a16="http://schemas.microsoft.com/office/drawing/2014/main" id="{432CFDE5-96D1-1E43-B380-C23DCCD72EEB}"/>
            </a:ext>
          </a:extLst>
        </xdr:cNvPr>
        <xdr:cNvSpPr txBox="1"/>
      </xdr:nvSpPr>
      <xdr:spPr>
        <a:xfrm>
          <a:off x="10629073" y="2800828"/>
          <a:ext cx="1358820" cy="671015"/>
        </a:xfrm>
        <a:prstGeom prst="roundRect">
          <a:avLst/>
        </a:prstGeom>
        <a:solidFill>
          <a:schemeClr val="accent6">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1100"/>
            <a:t> </a:t>
          </a:r>
          <a:r>
            <a:rPr lang="en-GB" sz="2000"/>
            <a:t>Calculate</a:t>
          </a:r>
        </a:p>
      </xdr:txBody>
    </xdr:sp>
    <xdr:clientData/>
  </xdr:twoCellAnchor>
  <xdr:twoCellAnchor>
    <xdr:from>
      <xdr:col>9</xdr:col>
      <xdr:colOff>1373364</xdr:colOff>
      <xdr:row>10</xdr:row>
      <xdr:rowOff>188259</xdr:rowOff>
    </xdr:from>
    <xdr:to>
      <xdr:col>10</xdr:col>
      <xdr:colOff>1102319</xdr:colOff>
      <xdr:row>13</xdr:row>
      <xdr:rowOff>137188</xdr:rowOff>
    </xdr:to>
    <xdr:sp macro="[0]!RESET_SGUEh_average" textlink="">
      <xdr:nvSpPr>
        <xdr:cNvPr id="5" name="ZoneTexte 7">
          <a:extLst>
            <a:ext uri="{FF2B5EF4-FFF2-40B4-BE49-F238E27FC236}">
              <a16:creationId xmlns="" xmlns:a16="http://schemas.microsoft.com/office/drawing/2014/main" id="{85B9A76C-1ACA-B24E-97CC-30E206EDC7E8}"/>
            </a:ext>
          </a:extLst>
        </xdr:cNvPr>
        <xdr:cNvSpPr txBox="1"/>
      </xdr:nvSpPr>
      <xdr:spPr>
        <a:xfrm>
          <a:off x="14177952" y="2384612"/>
          <a:ext cx="1536838" cy="576458"/>
        </a:xfrm>
        <a:prstGeom prst="roundRect">
          <a:avLst/>
        </a:prstGeom>
        <a:solidFill>
          <a:schemeClr val="accent6">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287644</xdr:colOff>
      <xdr:row>10</xdr:row>
      <xdr:rowOff>188257</xdr:rowOff>
    </xdr:from>
    <xdr:to>
      <xdr:col>9</xdr:col>
      <xdr:colOff>644130</xdr:colOff>
      <xdr:row>13</xdr:row>
      <xdr:rowOff>124486</xdr:rowOff>
    </xdr:to>
    <xdr:sp macro="[0]!Calculate_Colder.Calculate_Colder" textlink="">
      <xdr:nvSpPr>
        <xdr:cNvPr id="2" name="ZoneTexte 6">
          <a:extLst>
            <a:ext uri="{FF2B5EF4-FFF2-40B4-BE49-F238E27FC236}">
              <a16:creationId xmlns="" xmlns:a16="http://schemas.microsoft.com/office/drawing/2014/main" id="{C58F728C-9CF8-6740-B7A8-B11E4504BA7A}"/>
            </a:ext>
          </a:extLst>
        </xdr:cNvPr>
        <xdr:cNvSpPr txBox="1"/>
      </xdr:nvSpPr>
      <xdr:spPr>
        <a:xfrm>
          <a:off x="12111344" y="2410757"/>
          <a:ext cx="1359786" cy="545829"/>
        </a:xfrm>
        <a:prstGeom prst="roundRect">
          <a:avLst/>
        </a:prstGeom>
        <a:solidFill>
          <a:schemeClr val="accent1">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1100"/>
            <a:t> </a:t>
          </a:r>
          <a:r>
            <a:rPr lang="en-GB" sz="2000"/>
            <a:t>Calculate</a:t>
          </a:r>
        </a:p>
      </xdr:txBody>
    </xdr:sp>
    <xdr:clientData/>
  </xdr:twoCellAnchor>
  <xdr:twoCellAnchor>
    <xdr:from>
      <xdr:col>9</xdr:col>
      <xdr:colOff>1373364</xdr:colOff>
      <xdr:row>10</xdr:row>
      <xdr:rowOff>188259</xdr:rowOff>
    </xdr:from>
    <xdr:to>
      <xdr:col>10</xdr:col>
      <xdr:colOff>1102319</xdr:colOff>
      <xdr:row>13</xdr:row>
      <xdr:rowOff>137188</xdr:rowOff>
    </xdr:to>
    <xdr:sp macro="[0]!RESET_SGUEh_Colder" textlink="">
      <xdr:nvSpPr>
        <xdr:cNvPr id="3" name="ZoneTexte 7">
          <a:extLst>
            <a:ext uri="{FF2B5EF4-FFF2-40B4-BE49-F238E27FC236}">
              <a16:creationId xmlns="" xmlns:a16="http://schemas.microsoft.com/office/drawing/2014/main" id="{CB056955-2657-9143-B9CB-17D87CAF47CE}"/>
            </a:ext>
          </a:extLst>
        </xdr:cNvPr>
        <xdr:cNvSpPr txBox="1"/>
      </xdr:nvSpPr>
      <xdr:spPr>
        <a:xfrm>
          <a:off x="14200364" y="2410759"/>
          <a:ext cx="1532355" cy="558529"/>
        </a:xfrm>
        <a:prstGeom prst="roundRect">
          <a:avLst/>
        </a:prstGeom>
        <a:solidFill>
          <a:schemeClr val="accent1">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287644</xdr:colOff>
      <xdr:row>10</xdr:row>
      <xdr:rowOff>188257</xdr:rowOff>
    </xdr:from>
    <xdr:to>
      <xdr:col>9</xdr:col>
      <xdr:colOff>644130</xdr:colOff>
      <xdr:row>13</xdr:row>
      <xdr:rowOff>124486</xdr:rowOff>
    </xdr:to>
    <xdr:sp macro="[0]!Calculate_Warmer.Calculate_Wamer" textlink="">
      <xdr:nvSpPr>
        <xdr:cNvPr id="2" name="ZoneTexte 6">
          <a:extLst>
            <a:ext uri="{FF2B5EF4-FFF2-40B4-BE49-F238E27FC236}">
              <a16:creationId xmlns="" xmlns:a16="http://schemas.microsoft.com/office/drawing/2014/main" id="{4B905CF8-8D1C-1E49-8A0D-B7B6AEBD3C5D}"/>
            </a:ext>
          </a:extLst>
        </xdr:cNvPr>
        <xdr:cNvSpPr txBox="1"/>
      </xdr:nvSpPr>
      <xdr:spPr>
        <a:xfrm>
          <a:off x="12111344" y="2410757"/>
          <a:ext cx="1359786" cy="545829"/>
        </a:xfrm>
        <a:prstGeom prst="roundRect">
          <a:avLst/>
        </a:prstGeom>
        <a:solidFill>
          <a:schemeClr val="accent2">
            <a:lumMod val="40000"/>
            <a:lumOff val="6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1100"/>
            <a:t> </a:t>
          </a:r>
          <a:r>
            <a:rPr lang="en-GB" sz="2000"/>
            <a:t>Calculate</a:t>
          </a:r>
        </a:p>
      </xdr:txBody>
    </xdr:sp>
    <xdr:clientData/>
  </xdr:twoCellAnchor>
  <xdr:twoCellAnchor>
    <xdr:from>
      <xdr:col>9</xdr:col>
      <xdr:colOff>1373364</xdr:colOff>
      <xdr:row>10</xdr:row>
      <xdr:rowOff>188259</xdr:rowOff>
    </xdr:from>
    <xdr:to>
      <xdr:col>10</xdr:col>
      <xdr:colOff>1102319</xdr:colOff>
      <xdr:row>13</xdr:row>
      <xdr:rowOff>137188</xdr:rowOff>
    </xdr:to>
    <xdr:sp macro="[0]!Reset_Warmer.RESET_SGUEh_Warmer" textlink="">
      <xdr:nvSpPr>
        <xdr:cNvPr id="3" name="ZoneTexte 7">
          <a:extLst>
            <a:ext uri="{FF2B5EF4-FFF2-40B4-BE49-F238E27FC236}">
              <a16:creationId xmlns="" xmlns:a16="http://schemas.microsoft.com/office/drawing/2014/main" id="{2FCD232A-CC0A-3341-B8C6-3A4A45D3148C}"/>
            </a:ext>
          </a:extLst>
        </xdr:cNvPr>
        <xdr:cNvSpPr txBox="1"/>
      </xdr:nvSpPr>
      <xdr:spPr>
        <a:xfrm>
          <a:off x="14200364" y="2410759"/>
          <a:ext cx="1532355" cy="558529"/>
        </a:xfrm>
        <a:prstGeom prst="roundRect">
          <a:avLst/>
        </a:prstGeom>
        <a:solidFill>
          <a:schemeClr val="accent2">
            <a:lumMod val="40000"/>
            <a:lumOff val="6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657439</xdr:colOff>
      <xdr:row>3</xdr:row>
      <xdr:rowOff>221874</xdr:rowOff>
    </xdr:from>
    <xdr:to>
      <xdr:col>9</xdr:col>
      <xdr:colOff>83836</xdr:colOff>
      <xdr:row>6</xdr:row>
      <xdr:rowOff>158103</xdr:rowOff>
    </xdr:to>
    <xdr:sp macro="[0]!Calculate_cooling.Calculate_Cooling" textlink="">
      <xdr:nvSpPr>
        <xdr:cNvPr id="2" name="ZoneTexte 6">
          <a:extLst>
            <a:ext uri="{FF2B5EF4-FFF2-40B4-BE49-F238E27FC236}">
              <a16:creationId xmlns="" xmlns:a16="http://schemas.microsoft.com/office/drawing/2014/main" id="{89AF24DE-3EC9-6440-B446-071E740FC50E}"/>
            </a:ext>
          </a:extLst>
        </xdr:cNvPr>
        <xdr:cNvSpPr txBox="1"/>
      </xdr:nvSpPr>
      <xdr:spPr>
        <a:xfrm>
          <a:off x="10059174" y="905433"/>
          <a:ext cx="1521897" cy="608582"/>
        </a:xfrm>
        <a:prstGeom prst="roundRect">
          <a:avLst/>
        </a:prstGeom>
        <a:solidFill>
          <a:schemeClr val="accent4">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1100"/>
            <a:t> </a:t>
          </a:r>
          <a:r>
            <a:rPr lang="en-GB" sz="2000"/>
            <a:t>Calculate</a:t>
          </a:r>
        </a:p>
      </xdr:txBody>
    </xdr:sp>
    <xdr:clientData/>
  </xdr:twoCellAnchor>
  <xdr:twoCellAnchor>
    <xdr:from>
      <xdr:col>9</xdr:col>
      <xdr:colOff>969955</xdr:colOff>
      <xdr:row>3</xdr:row>
      <xdr:rowOff>210670</xdr:rowOff>
    </xdr:from>
    <xdr:to>
      <xdr:col>10</xdr:col>
      <xdr:colOff>622710</xdr:colOff>
      <xdr:row>6</xdr:row>
      <xdr:rowOff>159599</xdr:rowOff>
    </xdr:to>
    <xdr:sp macro="[0]!RESET_Cooling.RESET_Cooling" textlink="">
      <xdr:nvSpPr>
        <xdr:cNvPr id="3" name="ZoneTexte 7">
          <a:extLst>
            <a:ext uri="{FF2B5EF4-FFF2-40B4-BE49-F238E27FC236}">
              <a16:creationId xmlns="" xmlns:a16="http://schemas.microsoft.com/office/drawing/2014/main" id="{A0DB770B-A06F-3243-BCCD-DC3C858839A0}"/>
            </a:ext>
          </a:extLst>
        </xdr:cNvPr>
        <xdr:cNvSpPr txBox="1"/>
      </xdr:nvSpPr>
      <xdr:spPr>
        <a:xfrm>
          <a:off x="12467190" y="894229"/>
          <a:ext cx="1232785" cy="621282"/>
        </a:xfrm>
        <a:prstGeom prst="roundRect">
          <a:avLst/>
        </a:prstGeom>
        <a:solidFill>
          <a:schemeClr val="accent4">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P34"/>
  <sheetViews>
    <sheetView topLeftCell="A16" zoomScale="125" zoomScaleNormal="70" workbookViewId="0"/>
  </sheetViews>
  <sheetFormatPr baseColWidth="10" defaultColWidth="8.85546875" defaultRowHeight="15.75" x14ac:dyDescent="0.25"/>
  <cols>
    <col min="1" max="12" width="8.85546875" style="1"/>
  </cols>
  <sheetData>
    <row r="1" spans="1:16" x14ac:dyDescent="0.25">
      <c r="A1" s="147"/>
      <c r="B1" s="147"/>
      <c r="C1" s="147"/>
      <c r="D1" s="147"/>
      <c r="E1" s="147"/>
      <c r="F1" s="147"/>
      <c r="G1" s="147"/>
      <c r="H1" s="147"/>
      <c r="I1" s="147"/>
      <c r="J1" s="147"/>
      <c r="K1" s="147"/>
      <c r="L1" s="147"/>
      <c r="M1" s="148"/>
      <c r="N1" s="148"/>
      <c r="O1" s="148"/>
      <c r="P1" s="148"/>
    </row>
    <row r="2" spans="1:16" x14ac:dyDescent="0.25">
      <c r="A2" s="168" t="s">
        <v>152</v>
      </c>
      <c r="B2" s="168"/>
      <c r="C2" s="168"/>
      <c r="D2" s="168"/>
      <c r="E2" s="168"/>
      <c r="F2" s="168"/>
      <c r="G2" s="168"/>
      <c r="H2" s="168"/>
      <c r="I2" s="168"/>
      <c r="J2" s="168"/>
      <c r="K2" s="168"/>
      <c r="L2" s="168"/>
      <c r="M2" s="168"/>
      <c r="N2" s="168"/>
      <c r="O2" s="168"/>
      <c r="P2" s="168"/>
    </row>
    <row r="3" spans="1:16" x14ac:dyDescent="0.25">
      <c r="A3" s="168" t="s">
        <v>153</v>
      </c>
      <c r="B3" s="168"/>
      <c r="C3" s="168"/>
      <c r="D3" s="168"/>
      <c r="E3" s="168"/>
      <c r="F3" s="168"/>
      <c r="G3" s="168"/>
      <c r="H3" s="168"/>
      <c r="I3" s="168"/>
      <c r="J3" s="168"/>
      <c r="K3" s="168"/>
      <c r="L3" s="168"/>
      <c r="M3" s="168"/>
      <c r="N3" s="168"/>
      <c r="O3" s="168"/>
      <c r="P3" s="168"/>
    </row>
    <row r="4" spans="1:16" x14ac:dyDescent="0.25">
      <c r="A4" s="154"/>
      <c r="B4" s="154"/>
      <c r="C4" s="154"/>
      <c r="D4" s="154"/>
      <c r="E4" s="154"/>
      <c r="F4" s="154"/>
      <c r="G4" s="154"/>
      <c r="H4" s="154"/>
      <c r="I4" s="154"/>
      <c r="J4" s="154"/>
      <c r="K4" s="154"/>
      <c r="L4" s="154"/>
      <c r="M4" s="154"/>
      <c r="N4" s="154"/>
      <c r="O4" s="154"/>
      <c r="P4" s="154"/>
    </row>
    <row r="5" spans="1:16" x14ac:dyDescent="0.25">
      <c r="A5" s="149" t="s">
        <v>0</v>
      </c>
      <c r="B5" s="149"/>
      <c r="C5" s="149"/>
      <c r="D5" s="149"/>
      <c r="E5" s="149"/>
      <c r="F5" s="149"/>
      <c r="G5" s="149"/>
      <c r="H5" s="149"/>
      <c r="I5" s="149"/>
      <c r="J5" s="149"/>
      <c r="K5" s="149"/>
      <c r="L5" s="149"/>
      <c r="M5" s="148"/>
      <c r="N5" s="148"/>
      <c r="O5" s="148"/>
      <c r="P5" s="148"/>
    </row>
    <row r="6" spans="1:16" x14ac:dyDescent="0.25">
      <c r="A6" s="149"/>
      <c r="B6" s="149"/>
      <c r="C6" s="149"/>
      <c r="D6" s="149"/>
      <c r="E6" s="149"/>
      <c r="F6" s="149"/>
      <c r="G6" s="149"/>
      <c r="H6" s="149"/>
      <c r="I6" s="149"/>
      <c r="J6" s="149"/>
      <c r="K6" s="149"/>
      <c r="L6" s="149"/>
      <c r="M6" s="148"/>
      <c r="N6" s="148"/>
      <c r="O6" s="148"/>
      <c r="P6" s="148"/>
    </row>
    <row r="7" spans="1:16" x14ac:dyDescent="0.25">
      <c r="A7" s="168" t="s">
        <v>154</v>
      </c>
      <c r="B7" s="168"/>
      <c r="C7" s="168"/>
      <c r="D7" s="168"/>
      <c r="E7" s="168"/>
      <c r="F7" s="168"/>
      <c r="G7" s="168"/>
      <c r="H7" s="168"/>
      <c r="I7" s="168"/>
      <c r="J7" s="168"/>
      <c r="K7" s="168"/>
      <c r="L7" s="168"/>
      <c r="M7" s="168"/>
      <c r="N7" s="168"/>
      <c r="O7" s="168"/>
      <c r="P7" s="168"/>
    </row>
    <row r="8" spans="1:16" x14ac:dyDescent="0.25">
      <c r="A8" s="170" t="s">
        <v>155</v>
      </c>
      <c r="B8" s="170"/>
      <c r="C8" s="170"/>
      <c r="D8" s="170"/>
      <c r="E8" s="170"/>
      <c r="F8" s="170"/>
      <c r="G8" s="170"/>
      <c r="H8" s="170"/>
      <c r="I8" s="170"/>
      <c r="J8" s="170"/>
      <c r="K8" s="170"/>
      <c r="L8" s="170"/>
      <c r="M8" s="170"/>
      <c r="N8" s="170"/>
      <c r="O8" s="170"/>
      <c r="P8" s="170"/>
    </row>
    <row r="9" spans="1:16" x14ac:dyDescent="0.25">
      <c r="A9" s="170" t="s">
        <v>1</v>
      </c>
      <c r="B9" s="170"/>
      <c r="C9" s="170"/>
      <c r="D9" s="170"/>
      <c r="E9" s="170"/>
      <c r="F9" s="170"/>
      <c r="G9" s="170"/>
      <c r="H9" s="170"/>
      <c r="I9" s="170"/>
      <c r="J9" s="170"/>
      <c r="K9" s="170"/>
      <c r="L9" s="170"/>
      <c r="M9" s="170"/>
      <c r="N9" s="170"/>
      <c r="O9" s="170"/>
      <c r="P9" s="170"/>
    </row>
    <row r="10" spans="1:16" x14ac:dyDescent="0.25">
      <c r="A10" s="170" t="s">
        <v>2</v>
      </c>
      <c r="B10" s="170"/>
      <c r="C10" s="170"/>
      <c r="D10" s="170"/>
      <c r="E10" s="170"/>
      <c r="F10" s="170"/>
      <c r="G10" s="170"/>
      <c r="H10" s="170"/>
      <c r="I10" s="170"/>
      <c r="J10" s="170"/>
      <c r="K10" s="170"/>
      <c r="L10" s="170"/>
      <c r="M10" s="170"/>
      <c r="N10" s="170"/>
      <c r="O10" s="170"/>
      <c r="P10" s="170"/>
    </row>
    <row r="11" spans="1:16" x14ac:dyDescent="0.25">
      <c r="A11" s="170"/>
      <c r="B11" s="170"/>
      <c r="C11" s="170"/>
      <c r="D11" s="170"/>
      <c r="E11" s="170"/>
      <c r="F11" s="170"/>
      <c r="G11" s="170"/>
      <c r="H11" s="170"/>
      <c r="I11" s="170"/>
      <c r="J11" s="170"/>
      <c r="K11" s="170"/>
      <c r="L11" s="170"/>
      <c r="M11" s="170"/>
      <c r="N11" s="170"/>
      <c r="O11" s="170"/>
      <c r="P11" s="170"/>
    </row>
    <row r="12" spans="1:16" x14ac:dyDescent="0.25">
      <c r="A12" s="168" t="s">
        <v>3</v>
      </c>
      <c r="B12" s="168"/>
      <c r="C12" s="168"/>
      <c r="D12" s="168"/>
      <c r="E12" s="168"/>
      <c r="F12" s="168"/>
      <c r="G12" s="168"/>
      <c r="H12" s="168"/>
      <c r="I12" s="168"/>
      <c r="J12" s="168"/>
      <c r="K12" s="168"/>
      <c r="L12" s="168"/>
      <c r="M12" s="168"/>
      <c r="N12" s="168"/>
      <c r="O12" s="168"/>
      <c r="P12" s="168"/>
    </row>
    <row r="13" spans="1:16" ht="28.5" customHeight="1" x14ac:dyDescent="0.25">
      <c r="A13" s="169" t="s">
        <v>148</v>
      </c>
      <c r="B13" s="169"/>
      <c r="C13" s="169"/>
      <c r="D13" s="169"/>
      <c r="E13" s="169"/>
      <c r="F13" s="169"/>
      <c r="G13" s="169"/>
      <c r="H13" s="169"/>
      <c r="I13" s="169"/>
      <c r="J13" s="169"/>
      <c r="K13" s="169"/>
      <c r="L13" s="169"/>
      <c r="M13" s="169"/>
      <c r="N13" s="169"/>
      <c r="O13" s="169"/>
      <c r="P13" s="169"/>
    </row>
    <row r="14" spans="1:16" x14ac:dyDescent="0.25">
      <c r="A14" s="170" t="s">
        <v>149</v>
      </c>
      <c r="B14" s="170"/>
      <c r="C14" s="170"/>
      <c r="D14" s="170"/>
      <c r="E14" s="170"/>
      <c r="F14" s="170"/>
      <c r="G14" s="170"/>
      <c r="H14" s="170"/>
      <c r="I14" s="170"/>
      <c r="J14" s="170"/>
      <c r="K14" s="170"/>
      <c r="L14" s="170"/>
      <c r="M14" s="170"/>
      <c r="N14" s="170"/>
      <c r="O14" s="170"/>
      <c r="P14" s="170"/>
    </row>
    <row r="15" spans="1:16" x14ac:dyDescent="0.25">
      <c r="A15" s="155"/>
      <c r="B15" s="155"/>
      <c r="C15" s="155"/>
      <c r="D15" s="155"/>
      <c r="E15" s="155"/>
      <c r="F15" s="155"/>
      <c r="G15" s="155"/>
      <c r="H15" s="155"/>
      <c r="I15" s="155"/>
      <c r="J15" s="155"/>
      <c r="K15" s="155"/>
      <c r="L15" s="155"/>
      <c r="M15" s="155"/>
      <c r="N15" s="155"/>
      <c r="O15" s="155"/>
      <c r="P15" s="155"/>
    </row>
    <row r="16" spans="1:16" x14ac:dyDescent="0.25">
      <c r="A16" s="168" t="s">
        <v>141</v>
      </c>
      <c r="B16" s="168"/>
      <c r="C16" s="168"/>
      <c r="D16" s="168"/>
      <c r="E16" s="168"/>
      <c r="F16" s="168"/>
      <c r="G16" s="168"/>
      <c r="H16" s="168"/>
      <c r="I16" s="168"/>
      <c r="J16" s="168"/>
      <c r="K16" s="168"/>
      <c r="L16" s="168"/>
      <c r="M16" s="168"/>
      <c r="N16" s="168"/>
      <c r="O16" s="168"/>
      <c r="P16" s="168"/>
    </row>
    <row r="17" spans="1:16" x14ac:dyDescent="0.25">
      <c r="A17" s="170" t="s">
        <v>162</v>
      </c>
      <c r="B17" s="170"/>
      <c r="C17" s="170"/>
      <c r="D17" s="170"/>
      <c r="E17" s="170"/>
      <c r="F17" s="170"/>
      <c r="G17" s="170"/>
      <c r="H17" s="170"/>
      <c r="I17" s="170"/>
      <c r="J17" s="170"/>
      <c r="K17" s="170"/>
      <c r="L17" s="170"/>
      <c r="M17" s="170"/>
      <c r="N17" s="170"/>
      <c r="O17" s="170"/>
      <c r="P17" s="170"/>
    </row>
    <row r="18" spans="1:16" x14ac:dyDescent="0.25">
      <c r="A18" s="155"/>
      <c r="B18" s="155"/>
      <c r="C18" s="155"/>
      <c r="D18" s="155"/>
      <c r="E18" s="155"/>
      <c r="F18" s="155"/>
      <c r="G18" s="155"/>
      <c r="H18" s="155"/>
      <c r="I18" s="155"/>
      <c r="J18" s="155"/>
      <c r="K18" s="155"/>
      <c r="L18" s="155"/>
      <c r="M18" s="155"/>
      <c r="N18" s="155"/>
      <c r="O18" s="155"/>
      <c r="P18" s="155"/>
    </row>
    <row r="19" spans="1:16" x14ac:dyDescent="0.25">
      <c r="A19" s="168" t="s">
        <v>4</v>
      </c>
      <c r="B19" s="168"/>
      <c r="C19" s="168"/>
      <c r="D19" s="168"/>
      <c r="E19" s="168"/>
      <c r="F19" s="168"/>
      <c r="G19" s="168"/>
      <c r="H19" s="168"/>
      <c r="I19" s="168"/>
      <c r="J19" s="168"/>
      <c r="K19" s="168"/>
      <c r="L19" s="168"/>
      <c r="M19" s="168"/>
      <c r="N19" s="168"/>
      <c r="O19" s="168"/>
      <c r="P19" s="168"/>
    </row>
    <row r="20" spans="1:16" x14ac:dyDescent="0.25">
      <c r="A20" s="150" t="s">
        <v>156</v>
      </c>
      <c r="B20" s="147"/>
      <c r="C20" s="147"/>
      <c r="D20" s="147"/>
      <c r="E20" s="147"/>
      <c r="F20" s="147"/>
      <c r="G20" s="147"/>
      <c r="H20" s="147"/>
      <c r="I20" s="147"/>
      <c r="J20" s="147"/>
      <c r="K20" s="147"/>
      <c r="L20" s="147"/>
      <c r="M20" s="148"/>
      <c r="N20" s="148"/>
      <c r="O20" s="148"/>
      <c r="P20" s="148"/>
    </row>
    <row r="21" spans="1:16" x14ac:dyDescent="0.25">
      <c r="A21" s="147"/>
      <c r="B21" s="147"/>
      <c r="C21" s="147"/>
      <c r="D21" s="147"/>
      <c r="E21" s="147"/>
      <c r="F21" s="147"/>
      <c r="G21" s="147"/>
      <c r="H21" s="147"/>
      <c r="I21" s="147"/>
      <c r="J21" s="147"/>
      <c r="K21" s="147"/>
      <c r="L21" s="147"/>
      <c r="M21" s="148"/>
      <c r="N21" s="148"/>
      <c r="O21" s="148"/>
      <c r="P21" s="148"/>
    </row>
    <row r="22" spans="1:16" x14ac:dyDescent="0.25">
      <c r="A22" s="168" t="s">
        <v>157</v>
      </c>
      <c r="B22" s="168"/>
      <c r="C22" s="168"/>
      <c r="D22" s="168"/>
      <c r="E22" s="168"/>
      <c r="F22" s="168"/>
      <c r="G22" s="168"/>
      <c r="H22" s="168"/>
      <c r="I22" s="168"/>
      <c r="J22" s="168"/>
      <c r="K22" s="168"/>
      <c r="L22" s="168"/>
      <c r="M22" s="168"/>
      <c r="N22" s="168"/>
      <c r="O22" s="168"/>
      <c r="P22" s="168"/>
    </row>
    <row r="23" spans="1:16" ht="52.5" customHeight="1" x14ac:dyDescent="0.25">
      <c r="A23" s="169" t="s">
        <v>158</v>
      </c>
      <c r="B23" s="170"/>
      <c r="C23" s="170"/>
      <c r="D23" s="170"/>
      <c r="E23" s="170"/>
      <c r="F23" s="170"/>
      <c r="G23" s="170"/>
      <c r="H23" s="170"/>
      <c r="I23" s="170"/>
      <c r="J23" s="170"/>
      <c r="K23" s="170"/>
      <c r="L23" s="170"/>
      <c r="M23" s="170"/>
      <c r="N23" s="170"/>
      <c r="O23" s="170"/>
      <c r="P23" s="170"/>
    </row>
    <row r="24" spans="1:16" x14ac:dyDescent="0.25">
      <c r="A24" s="170"/>
      <c r="B24" s="170"/>
      <c r="C24" s="170"/>
      <c r="D24" s="170"/>
      <c r="E24" s="170"/>
      <c r="F24" s="170"/>
      <c r="G24" s="170"/>
      <c r="H24" s="170"/>
      <c r="I24" s="170"/>
      <c r="J24" s="170"/>
      <c r="K24" s="170"/>
      <c r="L24" s="170"/>
      <c r="M24" s="170"/>
      <c r="N24" s="170"/>
      <c r="O24" s="170"/>
      <c r="P24" s="170"/>
    </row>
    <row r="25" spans="1:16" x14ac:dyDescent="0.25">
      <c r="A25" s="168" t="s">
        <v>5</v>
      </c>
      <c r="B25" s="168"/>
      <c r="C25" s="168"/>
      <c r="D25" s="168"/>
      <c r="E25" s="168"/>
      <c r="F25" s="168"/>
      <c r="G25" s="168"/>
      <c r="H25" s="168"/>
      <c r="I25" s="168"/>
      <c r="J25" s="168"/>
      <c r="K25" s="168"/>
      <c r="L25" s="168"/>
      <c r="M25" s="168"/>
      <c r="N25" s="168"/>
      <c r="O25" s="168"/>
      <c r="P25" s="168"/>
    </row>
    <row r="26" spans="1:16" x14ac:dyDescent="0.25">
      <c r="A26" s="170" t="s">
        <v>6</v>
      </c>
      <c r="B26" s="170"/>
      <c r="C26" s="170"/>
      <c r="D26" s="170"/>
      <c r="E26" s="170"/>
      <c r="F26" s="170"/>
      <c r="G26" s="170"/>
      <c r="H26" s="170"/>
      <c r="I26" s="170"/>
      <c r="J26" s="170"/>
      <c r="K26" s="170"/>
      <c r="L26" s="170"/>
      <c r="M26" s="170"/>
      <c r="N26" s="170"/>
      <c r="O26" s="170"/>
      <c r="P26" s="170"/>
    </row>
    <row r="27" spans="1:16" x14ac:dyDescent="0.25">
      <c r="A27" s="170" t="s">
        <v>7</v>
      </c>
      <c r="B27" s="170"/>
      <c r="C27" s="170"/>
      <c r="D27" s="170"/>
      <c r="E27" s="170"/>
      <c r="F27" s="170"/>
      <c r="G27" s="170"/>
      <c r="H27" s="170"/>
      <c r="I27" s="170"/>
      <c r="J27" s="170"/>
      <c r="K27" s="170"/>
      <c r="L27" s="170"/>
      <c r="M27" s="170"/>
      <c r="N27" s="170"/>
      <c r="O27" s="170"/>
      <c r="P27" s="170"/>
    </row>
    <row r="28" spans="1:16" x14ac:dyDescent="0.25">
      <c r="A28" s="155"/>
      <c r="B28" s="155"/>
      <c r="C28" s="155"/>
      <c r="D28" s="155"/>
      <c r="E28" s="155"/>
      <c r="F28" s="155"/>
      <c r="G28" s="155"/>
      <c r="H28" s="155"/>
      <c r="I28" s="155"/>
      <c r="J28" s="155"/>
      <c r="K28" s="155"/>
      <c r="L28" s="155"/>
      <c r="M28" s="155"/>
      <c r="N28" s="155"/>
      <c r="O28" s="155"/>
      <c r="P28" s="155"/>
    </row>
    <row r="29" spans="1:16" x14ac:dyDescent="0.25">
      <c r="A29" s="168" t="s">
        <v>159</v>
      </c>
      <c r="B29" s="168"/>
      <c r="C29" s="168"/>
      <c r="D29" s="168"/>
      <c r="E29" s="168"/>
      <c r="F29" s="168"/>
      <c r="G29" s="168"/>
      <c r="H29" s="168"/>
      <c r="I29" s="168"/>
      <c r="J29" s="168"/>
      <c r="K29" s="168"/>
      <c r="L29" s="168"/>
      <c r="M29" s="168"/>
      <c r="N29" s="168"/>
      <c r="O29" s="168"/>
      <c r="P29" s="168"/>
    </row>
    <row r="30" spans="1:16" ht="28.5" customHeight="1" x14ac:dyDescent="0.25">
      <c r="A30" s="169" t="s">
        <v>160</v>
      </c>
      <c r="B30" s="169"/>
      <c r="C30" s="169"/>
      <c r="D30" s="169"/>
      <c r="E30" s="169"/>
      <c r="F30" s="169"/>
      <c r="G30" s="169"/>
      <c r="H30" s="169"/>
      <c r="I30" s="169"/>
      <c r="J30" s="169"/>
      <c r="K30" s="169"/>
      <c r="L30" s="169"/>
      <c r="M30" s="169"/>
      <c r="N30" s="169"/>
      <c r="O30" s="169"/>
      <c r="P30" s="169"/>
    </row>
    <row r="31" spans="1:16" ht="16.5" thickBot="1" x14ac:dyDescent="0.3">
      <c r="A31" s="147"/>
      <c r="B31" s="147"/>
      <c r="C31" s="147"/>
      <c r="D31" s="147"/>
      <c r="E31" s="147"/>
      <c r="F31" s="147"/>
      <c r="G31" s="147"/>
      <c r="H31" s="147"/>
      <c r="I31" s="147"/>
      <c r="J31" s="147"/>
      <c r="K31" s="147"/>
      <c r="L31" s="147"/>
      <c r="M31" s="148"/>
      <c r="N31" s="148"/>
      <c r="O31" s="148"/>
      <c r="P31" s="148"/>
    </row>
    <row r="32" spans="1:16" ht="80.25" customHeight="1" thickBot="1" x14ac:dyDescent="0.3">
      <c r="A32" s="171" t="s">
        <v>150</v>
      </c>
      <c r="B32" s="172"/>
      <c r="C32" s="172"/>
      <c r="D32" s="172"/>
      <c r="E32" s="172"/>
      <c r="F32" s="172"/>
      <c r="G32" s="172"/>
      <c r="H32" s="172"/>
      <c r="I32" s="172"/>
      <c r="J32" s="172"/>
      <c r="K32" s="172"/>
      <c r="L32" s="173"/>
      <c r="M32" s="151"/>
      <c r="N32" s="151"/>
      <c r="O32" s="151"/>
      <c r="P32" s="148"/>
    </row>
    <row r="33" spans="1:16" x14ac:dyDescent="0.25">
      <c r="A33" s="147"/>
      <c r="B33" s="147"/>
      <c r="C33" s="147"/>
      <c r="D33" s="147"/>
      <c r="E33" s="147"/>
      <c r="F33" s="147"/>
      <c r="G33" s="147"/>
      <c r="H33" s="147"/>
      <c r="I33" s="147"/>
      <c r="J33" s="147"/>
      <c r="K33" s="147"/>
      <c r="L33" s="147"/>
      <c r="M33" s="148"/>
      <c r="N33" s="148"/>
      <c r="O33" s="148"/>
      <c r="P33" s="148"/>
    </row>
    <row r="34" spans="1:16" ht="15.75" customHeight="1" x14ac:dyDescent="0.25">
      <c r="A34" s="169" t="s">
        <v>151</v>
      </c>
      <c r="B34" s="169"/>
      <c r="C34" s="169"/>
      <c r="D34" s="169"/>
      <c r="E34" s="169"/>
      <c r="F34" s="169"/>
      <c r="G34" s="169"/>
      <c r="H34" s="169"/>
      <c r="I34" s="169"/>
      <c r="J34" s="169"/>
      <c r="K34" s="169"/>
      <c r="L34" s="169"/>
      <c r="M34" s="169"/>
      <c r="N34" s="169"/>
      <c r="O34" s="169"/>
      <c r="P34" s="169"/>
    </row>
  </sheetData>
  <sheetProtection algorithmName="SHA-512" hashValue="YFoNkuEr2SY7fc4rw6yAPG1Z4TpKYDK0rnvuS/GjnbylXpVPPJhYEgWTZkX4smCzDHZD1tMd5bcxLwVual43Lw==" saltValue="nh51/OQ9XHk+TR5Fd7a8Ww==" spinCount="100000" sheet="1" objects="1" scenarios="1"/>
  <mergeCells count="23">
    <mergeCell ref="A32:L32"/>
    <mergeCell ref="A34:P34"/>
    <mergeCell ref="A26:P26"/>
    <mergeCell ref="A27:P27"/>
    <mergeCell ref="A29:P29"/>
    <mergeCell ref="A30:P30"/>
    <mergeCell ref="A24:P24"/>
    <mergeCell ref="A25:P25"/>
    <mergeCell ref="A12:P12"/>
    <mergeCell ref="A13:P13"/>
    <mergeCell ref="A14:P14"/>
    <mergeCell ref="A16:P16"/>
    <mergeCell ref="A17:P17"/>
    <mergeCell ref="A2:P2"/>
    <mergeCell ref="A3:P3"/>
    <mergeCell ref="A19:P19"/>
    <mergeCell ref="A22:P22"/>
    <mergeCell ref="A23:P23"/>
    <mergeCell ref="A7:P7"/>
    <mergeCell ref="A8:P8"/>
    <mergeCell ref="A9:P9"/>
    <mergeCell ref="A10:P10"/>
    <mergeCell ref="A11:P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AW74"/>
  <sheetViews>
    <sheetView tabSelected="1" topLeftCell="A4" zoomScale="70" zoomScaleNormal="70" workbookViewId="0">
      <selection activeCell="R19" sqref="R19"/>
    </sheetView>
  </sheetViews>
  <sheetFormatPr baseColWidth="10" defaultColWidth="8.85546875" defaultRowHeight="18" x14ac:dyDescent="0.25"/>
  <cols>
    <col min="1" max="1" width="29.42578125" style="27" customWidth="1"/>
    <col min="2" max="2" width="25.42578125" style="27" customWidth="1"/>
    <col min="3" max="3" width="16.42578125" style="27" customWidth="1"/>
    <col min="4" max="4" width="19.7109375" style="27" customWidth="1"/>
    <col min="5" max="5" width="17.42578125" style="27" customWidth="1"/>
    <col min="6" max="6" width="19.85546875" style="27" customWidth="1"/>
    <col min="7" max="7" width="12.7109375" style="27" customWidth="1"/>
    <col min="8" max="8" width="14" style="27" customWidth="1"/>
    <col min="9" max="9" width="13.140625" style="27" customWidth="1"/>
    <col min="10" max="10" width="23.7109375" style="27" bestFit="1" customWidth="1"/>
    <col min="11" max="11" width="15.42578125" style="27" customWidth="1"/>
    <col min="12" max="12" width="14" style="38" customWidth="1"/>
    <col min="13" max="13" width="18.28515625" style="38" customWidth="1"/>
    <col min="14" max="15" width="20.140625" style="38" customWidth="1"/>
    <col min="16" max="16" width="21.85546875" style="38" bestFit="1" customWidth="1"/>
    <col min="17" max="17" width="21.85546875" style="24" bestFit="1" customWidth="1"/>
    <col min="18" max="19" width="11" style="24" bestFit="1" customWidth="1"/>
    <col min="20" max="20" width="8.85546875" style="24"/>
    <col min="21" max="21" width="8.85546875" style="144"/>
    <col min="22" max="22" width="8.85546875" style="25"/>
    <col min="23" max="23" width="11.42578125" style="25" customWidth="1"/>
    <col min="24" max="24" width="11.140625" style="25" customWidth="1"/>
    <col min="25" max="30" width="8.85546875" style="25"/>
    <col min="31" max="37" width="8.85546875" style="144"/>
    <col min="38" max="38" width="8.85546875" style="138"/>
    <col min="39" max="43" width="8.85546875" style="144"/>
    <col min="44" max="49" width="8.85546875" style="138"/>
    <col min="50" max="16384" width="8.85546875" style="24"/>
  </cols>
  <sheetData>
    <row r="1" spans="1:30" ht="18.75" x14ac:dyDescent="0.25">
      <c r="A1" s="20" t="s">
        <v>134</v>
      </c>
      <c r="B1" s="21"/>
      <c r="C1" s="21"/>
      <c r="D1" s="21"/>
      <c r="E1" s="21"/>
      <c r="F1" s="21"/>
      <c r="G1" s="22"/>
      <c r="H1" s="23"/>
      <c r="I1" s="21"/>
      <c r="J1" s="21"/>
      <c r="K1" s="21"/>
      <c r="L1" s="21"/>
      <c r="M1" s="21"/>
      <c r="N1" s="21"/>
      <c r="O1" s="21"/>
      <c r="P1" s="21"/>
      <c r="Q1" s="22"/>
      <c r="R1" s="22"/>
      <c r="S1" s="22"/>
      <c r="T1" s="22"/>
    </row>
    <row r="2" spans="1:30" x14ac:dyDescent="0.25">
      <c r="A2" s="26"/>
      <c r="B2" s="21"/>
      <c r="C2" s="21"/>
      <c r="D2" s="21"/>
      <c r="E2" s="21"/>
      <c r="F2" s="21"/>
      <c r="G2" s="22"/>
      <c r="H2" s="184" t="s">
        <v>82</v>
      </c>
      <c r="I2" s="184"/>
      <c r="J2" s="184"/>
      <c r="K2" s="184"/>
      <c r="L2" s="22"/>
      <c r="M2" s="184"/>
      <c r="N2" s="184"/>
      <c r="O2" s="184"/>
      <c r="P2" s="184"/>
      <c r="Q2" s="22"/>
      <c r="R2" s="22"/>
      <c r="S2" s="22"/>
      <c r="T2" s="22"/>
    </row>
    <row r="3" spans="1:30" ht="18" customHeight="1" x14ac:dyDescent="0.25">
      <c r="A3" s="180" t="s">
        <v>14</v>
      </c>
      <c r="B3" s="181"/>
      <c r="C3" s="21"/>
      <c r="D3" s="180" t="s">
        <v>15</v>
      </c>
      <c r="E3" s="182"/>
      <c r="F3" s="181"/>
      <c r="H3" s="185" t="s">
        <v>85</v>
      </c>
      <c r="I3" s="185"/>
      <c r="J3" s="185"/>
      <c r="K3" s="185"/>
      <c r="L3" s="21"/>
      <c r="M3" s="185" t="s">
        <v>99</v>
      </c>
      <c r="N3" s="185"/>
      <c r="O3" s="185"/>
      <c r="P3" s="28"/>
      <c r="Q3" s="22"/>
      <c r="R3" s="22"/>
      <c r="S3" s="22"/>
      <c r="T3" s="22"/>
      <c r="W3" s="152"/>
      <c r="X3" s="152"/>
    </row>
    <row r="4" spans="1:30" x14ac:dyDescent="0.25">
      <c r="A4" s="29" t="s">
        <v>16</v>
      </c>
      <c r="B4" s="165"/>
      <c r="C4" s="21"/>
      <c r="D4" s="30" t="s">
        <v>17</v>
      </c>
      <c r="E4" s="31" t="s">
        <v>18</v>
      </c>
      <c r="F4" s="32"/>
      <c r="G4" s="22"/>
      <c r="H4" s="29"/>
      <c r="I4" s="29"/>
      <c r="J4" s="29"/>
      <c r="K4" s="33" t="s">
        <v>81</v>
      </c>
      <c r="L4" s="22"/>
      <c r="M4" s="29"/>
      <c r="N4" s="29" t="s">
        <v>100</v>
      </c>
      <c r="O4" s="33" t="s">
        <v>81</v>
      </c>
      <c r="P4" s="22"/>
      <c r="Q4" s="22"/>
      <c r="R4" s="22"/>
      <c r="S4" s="22"/>
      <c r="T4" s="22"/>
    </row>
    <row r="5" spans="1:30" ht="19.5" x14ac:dyDescent="0.25">
      <c r="A5" s="29" t="s">
        <v>14</v>
      </c>
      <c r="B5" s="165"/>
      <c r="C5" s="21"/>
      <c r="D5" s="30" t="s">
        <v>19</v>
      </c>
      <c r="E5" s="34">
        <v>-10</v>
      </c>
      <c r="F5" s="32" t="s">
        <v>20</v>
      </c>
      <c r="G5" s="22"/>
      <c r="H5" s="35" t="s">
        <v>70</v>
      </c>
      <c r="I5" s="36">
        <f>0.85*I6+0.15*I7</f>
        <v>0</v>
      </c>
      <c r="J5" s="32" t="s">
        <v>34</v>
      </c>
      <c r="K5" s="32">
        <v>0.8</v>
      </c>
      <c r="L5" s="22"/>
      <c r="M5" s="35" t="s">
        <v>102</v>
      </c>
      <c r="N5" s="16">
        <v>1</v>
      </c>
      <c r="O5" s="32">
        <v>1</v>
      </c>
      <c r="P5" s="22"/>
      <c r="Q5" s="22"/>
      <c r="R5" s="22"/>
      <c r="S5" s="22"/>
      <c r="T5" s="22"/>
    </row>
    <row r="6" spans="1:30" ht="19.5" x14ac:dyDescent="0.25">
      <c r="A6" s="37" t="s">
        <v>21</v>
      </c>
      <c r="B6" s="12" t="s">
        <v>163</v>
      </c>
      <c r="C6" s="21"/>
      <c r="D6" s="32" t="s">
        <v>22</v>
      </c>
      <c r="E6" s="16">
        <v>10</v>
      </c>
      <c r="F6" s="32" t="s">
        <v>23</v>
      </c>
      <c r="G6" s="22"/>
      <c r="H6" s="35" t="s">
        <v>79</v>
      </c>
      <c r="I6" s="16"/>
      <c r="J6" s="32" t="s">
        <v>34</v>
      </c>
      <c r="K6" s="32"/>
      <c r="L6" s="22"/>
      <c r="M6" s="35" t="s">
        <v>101</v>
      </c>
      <c r="N6" s="16">
        <v>2.1</v>
      </c>
      <c r="O6" s="32">
        <v>2.5</v>
      </c>
      <c r="P6" s="22"/>
      <c r="Q6" s="22"/>
      <c r="R6" s="22"/>
      <c r="S6" s="22"/>
      <c r="T6" s="22"/>
      <c r="V6" s="25" t="s">
        <v>136</v>
      </c>
      <c r="W6" s="25" t="str">
        <f>IF(OR(E6&lt;0,E6="",NOT(ISNUMBER(E6))),1,"")</f>
        <v/>
      </c>
      <c r="AA6" s="25" t="str">
        <f>IF(E6="","Pdesign Missing","")</f>
        <v/>
      </c>
      <c r="AB6" s="25" t="str">
        <f>IF(E6&lt;0,"Pdesign Negative","")</f>
        <v/>
      </c>
      <c r="AC6" s="25" t="str">
        <f>IF(NOT(ISNUMBER(E6)),"Pdesign is not a number","")</f>
        <v/>
      </c>
      <c r="AD6" s="153"/>
    </row>
    <row r="7" spans="1:30" ht="19.5" x14ac:dyDescent="0.25">
      <c r="A7" s="37" t="s">
        <v>24</v>
      </c>
      <c r="B7" s="12" t="s">
        <v>12</v>
      </c>
      <c r="C7" s="21"/>
      <c r="D7" s="32" t="s">
        <v>25</v>
      </c>
      <c r="E7" s="13">
        <v>-7</v>
      </c>
      <c r="F7" s="30" t="s">
        <v>20</v>
      </c>
      <c r="G7" s="22"/>
      <c r="H7" s="35" t="s">
        <v>80</v>
      </c>
      <c r="I7" s="16"/>
      <c r="J7" s="32" t="s">
        <v>34</v>
      </c>
      <c r="K7" s="32"/>
      <c r="L7" s="22"/>
      <c r="M7" s="22"/>
      <c r="N7" s="22"/>
      <c r="O7" s="22"/>
      <c r="P7" s="22"/>
      <c r="Q7" s="22"/>
      <c r="R7" s="22"/>
      <c r="S7" s="22"/>
      <c r="T7" s="22"/>
      <c r="V7" s="25" t="s">
        <v>137</v>
      </c>
      <c r="W7" s="25" t="str">
        <f>IF(E7="",1,"")</f>
        <v/>
      </c>
      <c r="X7" s="25" t="str">
        <f>IF(E7&gt;2,1,"")</f>
        <v/>
      </c>
      <c r="Y7" s="25" t="str">
        <f>IF(E7&lt;E5,1,"")</f>
        <v/>
      </c>
      <c r="AA7" s="25" t="str">
        <f>IF(E7="","Tbiv Missing","")</f>
        <v/>
      </c>
      <c r="AB7" s="25" t="str">
        <f>IF(E7&gt;2,"Tbiv &gt; 2°C","")</f>
        <v/>
      </c>
      <c r="AC7" s="25" t="str">
        <f>IF(E7&lt;E5,"Tbiv &lt; Tdesign","")</f>
        <v/>
      </c>
      <c r="AD7" s="153"/>
    </row>
    <row r="8" spans="1:30" ht="19.5" x14ac:dyDescent="0.3">
      <c r="A8" s="29" t="s">
        <v>26</v>
      </c>
      <c r="B8" s="166" t="s">
        <v>11</v>
      </c>
      <c r="C8" s="21"/>
      <c r="D8" s="32" t="s">
        <v>27</v>
      </c>
      <c r="E8" s="13">
        <v>-10</v>
      </c>
      <c r="F8" s="32" t="s">
        <v>20</v>
      </c>
      <c r="G8" s="22"/>
      <c r="H8" s="35" t="s">
        <v>71</v>
      </c>
      <c r="I8" s="14"/>
      <c r="J8" s="30" t="s">
        <v>75</v>
      </c>
      <c r="K8" s="32">
        <v>0.02</v>
      </c>
      <c r="L8" s="22"/>
      <c r="M8" s="39" t="s">
        <v>141</v>
      </c>
      <c r="N8" s="22"/>
      <c r="O8" s="22"/>
      <c r="P8" s="22"/>
      <c r="Q8" s="22"/>
      <c r="R8" s="22"/>
      <c r="S8" s="22"/>
      <c r="T8" s="22"/>
      <c r="V8" s="25" t="s">
        <v>138</v>
      </c>
      <c r="W8" s="25" t="str">
        <f>IF(E8="",1,"")</f>
        <v/>
      </c>
      <c r="X8" s="25" t="str">
        <f>IF(E8&gt;-7,1,"")</f>
        <v/>
      </c>
      <c r="Y8" s="25" t="str">
        <f>IF(E7&lt;E8,1,"")</f>
        <v/>
      </c>
      <c r="AA8" s="25" t="str">
        <f>IF(E8="","TOL Missing","")</f>
        <v/>
      </c>
      <c r="AB8" s="25" t="str">
        <f>IF(E8&gt;=2,"TOL &gt;2","")</f>
        <v/>
      </c>
      <c r="AC8" s="25" t="str">
        <f>IF(E7&lt;E8," TOL&gt;Tbiv ","")</f>
        <v/>
      </c>
      <c r="AD8" s="153"/>
    </row>
    <row r="9" spans="1:30" x14ac:dyDescent="0.25">
      <c r="A9" s="29" t="s">
        <v>29</v>
      </c>
      <c r="B9" s="166" t="s">
        <v>8</v>
      </c>
      <c r="C9" s="21"/>
      <c r="D9" s="30" t="s">
        <v>106</v>
      </c>
      <c r="E9" s="40">
        <v>2066</v>
      </c>
      <c r="F9" s="30" t="s">
        <v>30</v>
      </c>
      <c r="G9" s="22"/>
      <c r="H9" s="22"/>
      <c r="I9" s="22"/>
      <c r="J9" s="22"/>
      <c r="K9" s="22"/>
      <c r="L9" s="22"/>
      <c r="M9" s="41" t="str">
        <f>AA6&amp;" "&amp;AB6&amp;" "&amp;AC6</f>
        <v xml:space="preserve">  </v>
      </c>
      <c r="N9" s="42"/>
      <c r="O9" s="42"/>
      <c r="P9" s="42"/>
      <c r="Q9" s="22"/>
      <c r="R9" s="22"/>
      <c r="S9" s="22"/>
      <c r="T9" s="22"/>
      <c r="AD9" s="153"/>
    </row>
    <row r="10" spans="1:30" x14ac:dyDescent="0.25">
      <c r="A10" s="29" t="s">
        <v>31</v>
      </c>
      <c r="B10" s="166" t="s">
        <v>8</v>
      </c>
      <c r="C10" s="21"/>
      <c r="D10" s="32" t="s">
        <v>104</v>
      </c>
      <c r="E10" s="43">
        <f>IF($W$32&gt;0,"",$E$9*$E$6)</f>
        <v>20660</v>
      </c>
      <c r="F10" s="32" t="s">
        <v>32</v>
      </c>
      <c r="G10" s="22"/>
      <c r="H10" s="22"/>
      <c r="I10" s="22"/>
      <c r="J10" s="22"/>
      <c r="K10" s="22"/>
      <c r="L10" s="22"/>
      <c r="M10" s="41" t="str">
        <f t="shared" ref="M10:O11" si="0">AA7</f>
        <v/>
      </c>
      <c r="N10" s="41" t="str">
        <f t="shared" si="0"/>
        <v/>
      </c>
      <c r="O10" s="41" t="str">
        <f t="shared" si="0"/>
        <v/>
      </c>
      <c r="P10" s="42"/>
      <c r="Q10" s="22"/>
      <c r="R10" s="22"/>
      <c r="S10" s="22"/>
      <c r="T10" s="22"/>
      <c r="AD10" s="153"/>
    </row>
    <row r="11" spans="1:30" ht="19.5" x14ac:dyDescent="0.25">
      <c r="A11" s="29" t="s">
        <v>33</v>
      </c>
      <c r="B11" s="166" t="s">
        <v>8</v>
      </c>
      <c r="C11" s="21"/>
      <c r="D11" s="21"/>
      <c r="E11" s="21"/>
      <c r="F11" s="21"/>
      <c r="G11" s="21"/>
      <c r="H11" s="21"/>
      <c r="I11" s="22"/>
      <c r="J11" s="22"/>
      <c r="K11" s="22"/>
      <c r="L11" s="22"/>
      <c r="M11" s="41" t="str">
        <f t="shared" si="0"/>
        <v/>
      </c>
      <c r="N11" s="41" t="str">
        <f t="shared" si="0"/>
        <v/>
      </c>
      <c r="O11" s="41" t="str">
        <f t="shared" si="0"/>
        <v/>
      </c>
      <c r="P11" s="42"/>
      <c r="Q11" s="22"/>
      <c r="R11" s="22"/>
      <c r="S11" s="22"/>
      <c r="T11" s="22"/>
      <c r="V11" s="44" t="s">
        <v>142</v>
      </c>
      <c r="W11" s="25" t="str">
        <f>IF(OR(I6&lt;0,AND(I6&lt;&gt;"",NOT(ISNUMBER(I6)))),1,"")</f>
        <v/>
      </c>
      <c r="AA11" s="25" t="str">
        <f>IF(W11=1,"Incorrect "&amp;V11,"")</f>
        <v/>
      </c>
      <c r="AD11" s="153"/>
    </row>
    <row r="12" spans="1:30" ht="19.5" x14ac:dyDescent="0.25">
      <c r="A12" s="29" t="s">
        <v>66</v>
      </c>
      <c r="B12" s="166" t="s">
        <v>67</v>
      </c>
      <c r="C12" s="21"/>
      <c r="E12" s="21"/>
      <c r="F12" s="21"/>
      <c r="G12" s="21"/>
      <c r="H12" s="22"/>
      <c r="I12" s="22"/>
      <c r="J12" s="22"/>
      <c r="K12" s="22"/>
      <c r="L12" s="22"/>
      <c r="M12" s="41" t="str">
        <f>AA17</f>
        <v/>
      </c>
      <c r="N12" s="42"/>
      <c r="O12" s="42"/>
      <c r="P12" s="42"/>
      <c r="Q12" s="22"/>
      <c r="R12" s="22"/>
      <c r="S12" s="22"/>
      <c r="T12" s="22"/>
      <c r="V12" s="44" t="s">
        <v>143</v>
      </c>
      <c r="W12" s="25" t="str">
        <f>IF(OR(I7&lt;0,AND(I7&lt;&gt;"",NOT(ISNUMBER(I7)))),1,"")</f>
        <v/>
      </c>
      <c r="AA12" s="25" t="str">
        <f t="shared" ref="AA12:AA15" si="1">IF(W12=1,"Incorrect "&amp;V12,"")</f>
        <v/>
      </c>
      <c r="AD12" s="153"/>
    </row>
    <row r="13" spans="1:30" ht="19.5" x14ac:dyDescent="0.25">
      <c r="A13" s="21"/>
      <c r="B13" s="21"/>
      <c r="C13" s="21"/>
      <c r="D13" s="21"/>
      <c r="E13" s="21"/>
      <c r="F13" s="21"/>
      <c r="G13" s="21"/>
      <c r="H13" s="22"/>
      <c r="I13" s="22"/>
      <c r="J13" s="22"/>
      <c r="K13" s="22"/>
      <c r="L13" s="22"/>
      <c r="M13" s="45" t="str">
        <f>AA28&amp;AB28</f>
        <v/>
      </c>
      <c r="N13" s="42"/>
      <c r="O13" s="42"/>
      <c r="P13" s="42"/>
      <c r="Q13" s="22"/>
      <c r="R13" s="22"/>
      <c r="S13" s="22"/>
      <c r="T13" s="22"/>
      <c r="V13" s="44" t="s">
        <v>144</v>
      </c>
      <c r="W13" s="25" t="str">
        <f>IF(OR(I8&lt;0,AND(I8&lt;&gt;"",NOT(ISNUMBER(I8)))),1,"")</f>
        <v/>
      </c>
      <c r="AA13" s="25" t="str">
        <f t="shared" si="1"/>
        <v/>
      </c>
      <c r="AD13" s="153"/>
    </row>
    <row r="14" spans="1:30" ht="19.5" x14ac:dyDescent="0.25">
      <c r="A14" s="21"/>
      <c r="B14" s="21"/>
      <c r="C14" s="21"/>
      <c r="D14" s="21"/>
      <c r="E14" s="21"/>
      <c r="F14" s="21"/>
      <c r="G14" s="21"/>
      <c r="H14" s="21"/>
      <c r="I14" s="22"/>
      <c r="J14" s="22"/>
      <c r="K14" s="22"/>
      <c r="L14" s="22"/>
      <c r="M14" s="41" t="str">
        <f>AA11&amp;"   "&amp;AA12&amp;"   "&amp;AA13</f>
        <v xml:space="preserve">      </v>
      </c>
      <c r="N14" s="41"/>
      <c r="O14" s="41"/>
      <c r="P14" s="42"/>
      <c r="R14" s="22"/>
      <c r="S14" s="22"/>
      <c r="T14" s="22"/>
      <c r="V14" s="44" t="s">
        <v>145</v>
      </c>
      <c r="W14" s="25" t="str">
        <f>IF(OR(N5&lt;0,AND(N5&lt;&gt;"",NOT(ISNUMBER(N5)))),1,"")</f>
        <v/>
      </c>
      <c r="AA14" s="25" t="str">
        <f t="shared" si="1"/>
        <v/>
      </c>
      <c r="AD14" s="153"/>
    </row>
    <row r="15" spans="1:30" ht="19.5" x14ac:dyDescent="0.25">
      <c r="A15" s="180" t="s">
        <v>35</v>
      </c>
      <c r="B15" s="182"/>
      <c r="C15" s="182"/>
      <c r="D15" s="182"/>
      <c r="E15" s="182"/>
      <c r="F15" s="182"/>
      <c r="G15" s="182"/>
      <c r="H15" s="181"/>
      <c r="I15" s="22"/>
      <c r="J15" s="22"/>
      <c r="K15" s="22"/>
      <c r="L15" s="22"/>
      <c r="M15" s="41" t="str">
        <f>AA14&amp;"  "&amp;AA15</f>
        <v xml:space="preserve">  </v>
      </c>
      <c r="N15" s="41"/>
      <c r="O15" s="42"/>
      <c r="P15" s="42"/>
      <c r="Q15" s="22"/>
      <c r="R15" s="22"/>
      <c r="S15" s="22"/>
      <c r="T15" s="22"/>
      <c r="V15" s="44" t="s">
        <v>146</v>
      </c>
      <c r="W15" s="25" t="str">
        <f>IF(OR(N6&lt;0,AND(N6&lt;&gt;"",NOT(ISNUMBER(N6)))),1,"")</f>
        <v/>
      </c>
      <c r="AA15" s="25" t="str">
        <f t="shared" si="1"/>
        <v/>
      </c>
      <c r="AD15" s="153"/>
    </row>
    <row r="16" spans="1:30" ht="72" x14ac:dyDescent="0.25">
      <c r="A16" s="32" t="s">
        <v>36</v>
      </c>
      <c r="B16" s="32" t="s">
        <v>37</v>
      </c>
      <c r="C16" s="32" t="s">
        <v>38</v>
      </c>
      <c r="D16" s="32" t="s">
        <v>39</v>
      </c>
      <c r="E16" s="157" t="s">
        <v>40</v>
      </c>
      <c r="F16" s="157" t="s">
        <v>41</v>
      </c>
      <c r="G16" s="163" t="s">
        <v>68</v>
      </c>
      <c r="H16" s="157" t="s">
        <v>69</v>
      </c>
      <c r="I16" s="22"/>
      <c r="J16" s="22"/>
      <c r="K16" s="21"/>
      <c r="L16" s="46"/>
      <c r="M16" s="46"/>
      <c r="N16" s="46"/>
      <c r="O16" s="46"/>
      <c r="P16" s="46"/>
      <c r="Q16" s="22"/>
      <c r="R16" s="22"/>
      <c r="S16" s="22"/>
      <c r="T16" s="22"/>
      <c r="AD16" s="153"/>
    </row>
    <row r="17" spans="1:30" x14ac:dyDescent="0.25">
      <c r="A17" s="47" t="s">
        <v>42</v>
      </c>
      <c r="B17" s="47">
        <v>-7</v>
      </c>
      <c r="C17" s="48">
        <f>(B17-16)/($E$5-16)</f>
        <v>0.88461538461538458</v>
      </c>
      <c r="D17" s="49">
        <f t="shared" ref="D17:D22" si="2">IF($W$32&gt;0,"",$E$6*C17)</f>
        <v>8.8461538461538467</v>
      </c>
      <c r="E17" s="162"/>
      <c r="F17" s="15">
        <v>10</v>
      </c>
      <c r="G17" s="15">
        <v>3</v>
      </c>
      <c r="H17" s="15">
        <v>0.1</v>
      </c>
      <c r="I17" s="22"/>
      <c r="J17" s="22"/>
      <c r="K17" s="186" t="s">
        <v>28</v>
      </c>
      <c r="L17" s="186"/>
      <c r="M17" s="186"/>
      <c r="N17" s="186"/>
      <c r="O17" s="186"/>
      <c r="P17" s="186"/>
      <c r="Q17" s="186"/>
      <c r="R17" s="186"/>
      <c r="S17" s="22"/>
      <c r="T17" s="22"/>
      <c r="V17" s="25" t="s">
        <v>139</v>
      </c>
      <c r="W17" s="25" t="str">
        <f t="shared" ref="W17:Y22" si="3">IF(AND(F17&gt;0,ISNUMBER(F17)),"",1)</f>
        <v/>
      </c>
      <c r="X17" s="25" t="str">
        <f t="shared" si="3"/>
        <v/>
      </c>
      <c r="Y17" s="25" t="str">
        <f t="shared" si="3"/>
        <v/>
      </c>
      <c r="AA17" s="25" t="str">
        <f>IF(SUM(W17:Y22)&gt;0,"Complete performance data with correct values","")</f>
        <v/>
      </c>
      <c r="AD17" s="153"/>
    </row>
    <row r="18" spans="1:30" ht="21" x14ac:dyDescent="0.25">
      <c r="A18" s="47" t="s">
        <v>43</v>
      </c>
      <c r="B18" s="47">
        <v>2</v>
      </c>
      <c r="C18" s="48">
        <f t="shared" ref="C18:C20" si="4">(B18-16)/($E$5-16)</f>
        <v>0.53846153846153844</v>
      </c>
      <c r="D18" s="49">
        <f t="shared" si="2"/>
        <v>5.3846153846153841</v>
      </c>
      <c r="E18" s="162"/>
      <c r="F18" s="15">
        <v>10</v>
      </c>
      <c r="G18" s="15">
        <v>3</v>
      </c>
      <c r="H18" s="15">
        <v>0.1</v>
      </c>
      <c r="I18" s="22"/>
      <c r="J18" s="22"/>
      <c r="K18" s="40" t="s">
        <v>95</v>
      </c>
      <c r="L18" s="40" t="s">
        <v>96</v>
      </c>
      <c r="M18" s="40" t="s">
        <v>97</v>
      </c>
      <c r="N18" s="40" t="s">
        <v>103</v>
      </c>
      <c r="O18" s="40" t="s">
        <v>105</v>
      </c>
      <c r="P18" s="40" t="s">
        <v>92</v>
      </c>
      <c r="Q18" s="40" t="s">
        <v>107</v>
      </c>
      <c r="R18" s="40" t="s">
        <v>108</v>
      </c>
      <c r="S18" s="22"/>
      <c r="T18" s="22"/>
      <c r="W18" s="25" t="str">
        <f t="shared" si="3"/>
        <v/>
      </c>
      <c r="X18" s="25" t="str">
        <f t="shared" si="3"/>
        <v/>
      </c>
      <c r="Y18" s="25" t="str">
        <f t="shared" si="3"/>
        <v/>
      </c>
      <c r="AD18" s="153"/>
    </row>
    <row r="19" spans="1:30" x14ac:dyDescent="0.25">
      <c r="A19" s="47" t="s">
        <v>44</v>
      </c>
      <c r="B19" s="47">
        <v>7</v>
      </c>
      <c r="C19" s="48">
        <f t="shared" si="4"/>
        <v>0.34615384615384615</v>
      </c>
      <c r="D19" s="49">
        <f t="shared" si="2"/>
        <v>3.4615384615384617</v>
      </c>
      <c r="E19" s="162"/>
      <c r="F19" s="15">
        <v>10</v>
      </c>
      <c r="G19" s="15">
        <v>3</v>
      </c>
      <c r="H19" s="15">
        <v>0.1</v>
      </c>
      <c r="I19" s="22"/>
      <c r="J19" s="22"/>
      <c r="K19" s="50">
        <f>IF($W$32&gt;0,"",O63/P63)</f>
        <v>3.0000000000000004</v>
      </c>
      <c r="L19" s="50">
        <f>IF($W$32&gt;0,"",O63/Q63)</f>
        <v>0.10000000000000002</v>
      </c>
      <c r="M19" s="50">
        <f>IF($W$32&gt;0,"",IF(AND($N$5&lt;&gt;0,$N$6&lt;&gt;0),1/($N$5/$K$19+$N$6/L$19),IF(AND($N$5="",$N$6&lt;&gt;0),1/($O$5/$K$19+$N$6/L$19),IF(AND($N$5&lt;&gt;0,$N$6=""),1/($N$5/$K$19+$O$6/L$19),1/($O$5/$K$19+$O$6/L$19)))))</f>
        <v>4.6875000000000014E-2</v>
      </c>
      <c r="N19" s="51">
        <f>IF($W$32&gt;0,"",K63/M63)</f>
        <v>3.0109463986208378</v>
      </c>
      <c r="O19" s="51">
        <f>IF($W$32&gt;0,"",K63/N63)</f>
        <v>9.9868237002615531E-2</v>
      </c>
      <c r="P19" s="51">
        <f>IF($W$32&gt;0,"",IF($B$7="heating only",E10/(E10/O19+D29+D30+D31),E10/(E10/O19+I29+I30+I31)))</f>
        <v>9.8043597660703266E-2</v>
      </c>
      <c r="Q19" s="51">
        <f>IF($W$32&gt;0,"",IF(AND($N$5&lt;&gt;0,$N$6&lt;&gt;0),1/($N$5/$N$19+$N$6/P$19),(IF(AND($N$5="",$N$6&lt;&gt;0),1/($O$5/$N$19+$N$6/P$19),IF(AND($N$5&lt;&gt;0,$N$6=""),1/($N$5/$N$19+$O$6/P$19),1/($O$5/$N$19+$O$6/P$19))))))</f>
        <v>4.5974550767009896E-2</v>
      </c>
      <c r="R19" s="51">
        <f>IF($W$32&gt;0,"",$Q$19*100-L27-L28)</f>
        <v>1.5974550767009896</v>
      </c>
      <c r="S19" s="22"/>
      <c r="T19" s="22"/>
      <c r="W19" s="25" t="str">
        <f t="shared" si="3"/>
        <v/>
      </c>
      <c r="X19" s="25" t="str">
        <f t="shared" si="3"/>
        <v/>
      </c>
      <c r="Y19" s="25" t="str">
        <f t="shared" si="3"/>
        <v/>
      </c>
      <c r="AD19" s="153"/>
    </row>
    <row r="20" spans="1:30" x14ac:dyDescent="0.25">
      <c r="A20" s="47" t="s">
        <v>45</v>
      </c>
      <c r="B20" s="47">
        <v>12</v>
      </c>
      <c r="C20" s="48">
        <f t="shared" si="4"/>
        <v>0.15384615384615385</v>
      </c>
      <c r="D20" s="49">
        <f t="shared" si="2"/>
        <v>1.5384615384615385</v>
      </c>
      <c r="E20" s="162"/>
      <c r="F20" s="15">
        <v>10</v>
      </c>
      <c r="G20" s="15">
        <v>3</v>
      </c>
      <c r="H20" s="15">
        <v>0.1</v>
      </c>
      <c r="I20" s="22"/>
      <c r="J20" s="22"/>
      <c r="K20" s="22"/>
      <c r="L20" s="22"/>
      <c r="M20" s="21"/>
      <c r="N20" s="22"/>
      <c r="O20" s="22"/>
      <c r="P20" s="22"/>
      <c r="Q20" s="22"/>
      <c r="R20" s="22"/>
      <c r="S20" s="22"/>
      <c r="T20" s="22"/>
      <c r="W20" s="25" t="str">
        <f t="shared" si="3"/>
        <v/>
      </c>
      <c r="X20" s="25" t="str">
        <f t="shared" si="3"/>
        <v/>
      </c>
      <c r="Y20" s="25" t="str">
        <f t="shared" si="3"/>
        <v/>
      </c>
      <c r="AD20" s="153"/>
    </row>
    <row r="21" spans="1:30" x14ac:dyDescent="0.25">
      <c r="A21" s="47" t="s">
        <v>46</v>
      </c>
      <c r="B21" s="52">
        <f>IF(E8="","",IF(E8&lt;-10,-10,E8))</f>
        <v>-10</v>
      </c>
      <c r="C21" s="48">
        <f>IF(B21="","",(B21-16)/($E$5-16))</f>
        <v>1</v>
      </c>
      <c r="D21" s="49">
        <f t="shared" si="2"/>
        <v>10</v>
      </c>
      <c r="E21" s="162"/>
      <c r="F21" s="15">
        <v>10</v>
      </c>
      <c r="G21" s="15">
        <v>3</v>
      </c>
      <c r="H21" s="15">
        <v>0.1</v>
      </c>
      <c r="I21" s="22"/>
      <c r="J21" s="22"/>
      <c r="K21" s="22"/>
      <c r="L21" s="22"/>
      <c r="M21" s="21"/>
      <c r="N21" s="22"/>
      <c r="O21" s="22"/>
      <c r="P21" s="22"/>
      <c r="Q21" s="22"/>
      <c r="R21" s="22"/>
      <c r="S21" s="22"/>
      <c r="T21" s="22"/>
      <c r="W21" s="25" t="str">
        <f t="shared" si="3"/>
        <v/>
      </c>
      <c r="X21" s="25" t="str">
        <f t="shared" si="3"/>
        <v/>
      </c>
      <c r="Y21" s="25" t="str">
        <f t="shared" si="3"/>
        <v/>
      </c>
      <c r="AD21" s="153"/>
    </row>
    <row r="22" spans="1:30" x14ac:dyDescent="0.25">
      <c r="A22" s="47" t="s">
        <v>47</v>
      </c>
      <c r="B22" s="52">
        <f>IF(E7="","",E7)</f>
        <v>-7</v>
      </c>
      <c r="C22" s="48">
        <f>IF(B22="","",(B22-16)/($E$5-16))</f>
        <v>0.88461538461538458</v>
      </c>
      <c r="D22" s="49">
        <f t="shared" si="2"/>
        <v>8.8461538461538467</v>
      </c>
      <c r="E22" s="162"/>
      <c r="F22" s="15">
        <v>10</v>
      </c>
      <c r="G22" s="15">
        <v>3</v>
      </c>
      <c r="H22" s="15">
        <v>0.1</v>
      </c>
      <c r="I22" s="22"/>
      <c r="J22" s="22"/>
      <c r="K22" s="22"/>
      <c r="L22" s="22"/>
      <c r="M22" s="21"/>
      <c r="N22" s="22"/>
      <c r="O22" s="22"/>
      <c r="P22" s="22"/>
      <c r="Q22" s="22"/>
      <c r="R22" s="22"/>
      <c r="S22" s="22"/>
      <c r="T22" s="22"/>
      <c r="W22" s="25" t="str">
        <f t="shared" si="3"/>
        <v/>
      </c>
      <c r="X22" s="25" t="str">
        <f t="shared" si="3"/>
        <v/>
      </c>
      <c r="Y22" s="25" t="str">
        <f t="shared" si="3"/>
        <v/>
      </c>
      <c r="AD22" s="153"/>
    </row>
    <row r="23" spans="1:30" x14ac:dyDescent="0.25">
      <c r="A23" s="21"/>
      <c r="B23" s="21"/>
      <c r="C23" s="21"/>
      <c r="D23" s="21"/>
      <c r="E23" s="21"/>
      <c r="F23" s="21"/>
      <c r="G23" s="21"/>
      <c r="H23" s="21"/>
      <c r="I23" s="21"/>
      <c r="J23" s="53"/>
      <c r="K23" s="53"/>
      <c r="L23" s="53"/>
      <c r="M23" s="21"/>
      <c r="N23" s="22"/>
      <c r="O23" s="22"/>
      <c r="P23" s="22"/>
      <c r="Q23" s="22"/>
      <c r="R23" s="22"/>
      <c r="S23" s="22"/>
      <c r="T23" s="22"/>
      <c r="AD23" s="153"/>
    </row>
    <row r="24" spans="1:30" x14ac:dyDescent="0.25">
      <c r="A24" s="21"/>
      <c r="B24" s="21"/>
      <c r="C24" s="21"/>
      <c r="D24" s="21"/>
      <c r="E24" s="21"/>
      <c r="F24" s="21"/>
      <c r="G24" s="21"/>
      <c r="H24" s="21"/>
      <c r="I24" s="21"/>
      <c r="J24" s="53"/>
      <c r="K24" s="53"/>
      <c r="L24" s="53"/>
      <c r="M24" s="21"/>
      <c r="N24" s="22"/>
      <c r="O24" s="22"/>
      <c r="P24" s="22"/>
      <c r="Q24" s="22"/>
      <c r="R24" s="22"/>
      <c r="S24" s="22"/>
      <c r="T24" s="22"/>
      <c r="AD24" s="153"/>
    </row>
    <row r="25" spans="1:30" ht="18" customHeight="1" x14ac:dyDescent="0.25">
      <c r="A25" s="180" t="s">
        <v>48</v>
      </c>
      <c r="B25" s="182"/>
      <c r="C25" s="182"/>
      <c r="D25" s="182"/>
      <c r="E25" s="182"/>
      <c r="F25" s="182"/>
      <c r="G25" s="182"/>
      <c r="H25" s="182"/>
      <c r="I25" s="181"/>
      <c r="J25" s="53"/>
      <c r="K25" s="180" t="s">
        <v>164</v>
      </c>
      <c r="L25" s="181"/>
      <c r="M25" s="21"/>
      <c r="N25" s="22"/>
      <c r="O25" s="22"/>
      <c r="P25" s="22"/>
      <c r="Q25" s="22"/>
      <c r="R25" s="22"/>
      <c r="S25" s="22"/>
      <c r="T25" s="22"/>
      <c r="AD25" s="153"/>
    </row>
    <row r="26" spans="1:30" x14ac:dyDescent="0.25">
      <c r="A26" s="54" t="s">
        <v>49</v>
      </c>
      <c r="B26" s="46"/>
      <c r="C26" s="46"/>
      <c r="D26" s="46"/>
      <c r="E26" s="46"/>
      <c r="F26" s="183" t="s">
        <v>50</v>
      </c>
      <c r="G26" s="183"/>
      <c r="H26" s="183"/>
      <c r="I26" s="183"/>
      <c r="J26" s="53"/>
      <c r="K26" s="53"/>
      <c r="L26" s="53"/>
      <c r="M26" s="21"/>
      <c r="N26" s="22"/>
      <c r="O26" s="22"/>
      <c r="P26" s="22"/>
      <c r="Q26" s="22"/>
      <c r="R26" s="22"/>
      <c r="S26" s="22"/>
      <c r="T26" s="22"/>
      <c r="AD26" s="153"/>
    </row>
    <row r="27" spans="1:30" ht="18" customHeight="1" x14ac:dyDescent="0.25">
      <c r="A27" s="55"/>
      <c r="B27" s="56" t="s">
        <v>51</v>
      </c>
      <c r="C27" s="56" t="s">
        <v>110</v>
      </c>
      <c r="D27" s="56" t="s">
        <v>111</v>
      </c>
      <c r="E27" s="46"/>
      <c r="F27" s="55"/>
      <c r="G27" s="56" t="s">
        <v>51</v>
      </c>
      <c r="H27" s="56" t="s">
        <v>112</v>
      </c>
      <c r="I27" s="56" t="s">
        <v>111</v>
      </c>
      <c r="J27" s="53"/>
      <c r="K27" s="59" t="s">
        <v>113</v>
      </c>
      <c r="L27" s="60">
        <v>3</v>
      </c>
      <c r="M27" s="60" t="s">
        <v>34</v>
      </c>
      <c r="N27" s="53"/>
      <c r="O27" s="53"/>
      <c r="P27" s="21"/>
      <c r="Q27" s="22"/>
      <c r="R27" s="22"/>
      <c r="S27" s="22"/>
      <c r="T27" s="22"/>
      <c r="AD27" s="153"/>
    </row>
    <row r="28" spans="1:30" x14ac:dyDescent="0.25">
      <c r="A28" s="55"/>
      <c r="B28" s="57"/>
      <c r="C28" s="57" t="s">
        <v>161</v>
      </c>
      <c r="D28" s="57" t="s">
        <v>109</v>
      </c>
      <c r="E28" s="46"/>
      <c r="F28" s="55"/>
      <c r="G28" s="57"/>
      <c r="H28" s="57" t="s">
        <v>161</v>
      </c>
      <c r="I28" s="57" t="s">
        <v>109</v>
      </c>
      <c r="J28" s="53"/>
      <c r="K28" s="59" t="s">
        <v>114</v>
      </c>
      <c r="L28" s="60">
        <f>IF($B$6="ground water-to-water",2,IF($B$6="ground/brine-to-water",1,0))</f>
        <v>0</v>
      </c>
      <c r="M28" s="61" t="s">
        <v>34</v>
      </c>
      <c r="N28" s="53"/>
      <c r="O28" s="53"/>
      <c r="P28" s="21"/>
      <c r="Q28" s="22"/>
      <c r="R28" s="22"/>
      <c r="S28" s="22"/>
      <c r="T28" s="22"/>
      <c r="V28" s="25" t="s">
        <v>140</v>
      </c>
      <c r="W28" s="25" t="str">
        <f>IF($B$7="heating only",IF(AND(C29&gt;=0,ISNUMBER(C29)),"",1),"")</f>
        <v/>
      </c>
      <c r="X28" s="25" t="str">
        <f>IF($B$7="reversible",IF(AND(H29&gt;=0,ISNUMBER(H29)),"",1),"")</f>
        <v/>
      </c>
      <c r="AA28" s="25" t="str">
        <f>IF(SUM(W28:W30)&gt;0,"Complete Auxiliary data for heating only","")</f>
        <v/>
      </c>
      <c r="AB28" s="25" t="str">
        <f>IF(SUM(X28:X30)&gt;0,"Complete Auxiliary data for reversible unit","")</f>
        <v/>
      </c>
      <c r="AD28" s="153"/>
    </row>
    <row r="29" spans="1:30" x14ac:dyDescent="0.25">
      <c r="A29" s="30" t="s">
        <v>52</v>
      </c>
      <c r="B29" s="47">
        <v>178</v>
      </c>
      <c r="C29" s="12">
        <v>1</v>
      </c>
      <c r="D29" s="58">
        <f>C29*B29</f>
        <v>178</v>
      </c>
      <c r="E29" s="46"/>
      <c r="F29" s="37" t="s">
        <v>52</v>
      </c>
      <c r="G29" s="40">
        <v>178</v>
      </c>
      <c r="H29" s="12"/>
      <c r="I29" s="58">
        <f>H29*G29</f>
        <v>0</v>
      </c>
      <c r="J29" s="53"/>
      <c r="K29" s="53"/>
      <c r="L29" s="53"/>
      <c r="M29" s="53"/>
      <c r="N29" s="53"/>
      <c r="O29" s="53"/>
      <c r="P29" s="21"/>
      <c r="Q29" s="22"/>
      <c r="R29" s="22"/>
      <c r="S29" s="22"/>
      <c r="T29" s="22"/>
      <c r="W29" s="25" t="str">
        <f>IF($B$7="heating only",IF(AND(C30&gt;=0,ISNUMBER(C30)),"",1),"")</f>
        <v/>
      </c>
      <c r="X29" s="25" t="str">
        <f>IF($B$7="reversible",IF(AND(H30&gt;=0,ISNUMBER(H30)),"",1),"")</f>
        <v/>
      </c>
      <c r="AD29" s="153"/>
    </row>
    <row r="30" spans="1:30" x14ac:dyDescent="0.25">
      <c r="A30" s="30" t="s">
        <v>53</v>
      </c>
      <c r="B30" s="47">
        <v>0</v>
      </c>
      <c r="C30" s="12">
        <v>1</v>
      </c>
      <c r="D30" s="58">
        <f t="shared" ref="D30:D31" si="5">C30*B30</f>
        <v>0</v>
      </c>
      <c r="E30" s="46"/>
      <c r="F30" s="37" t="s">
        <v>53</v>
      </c>
      <c r="G30" s="40">
        <v>0</v>
      </c>
      <c r="H30" s="12"/>
      <c r="I30" s="58">
        <f t="shared" ref="I30:I31" si="6">H30*G30</f>
        <v>0</v>
      </c>
      <c r="J30" s="53"/>
      <c r="K30" s="53"/>
      <c r="L30" s="53"/>
      <c r="M30" s="53"/>
      <c r="N30" s="53"/>
      <c r="O30" s="53"/>
      <c r="P30" s="21"/>
      <c r="Q30" s="22"/>
      <c r="R30" s="22"/>
      <c r="S30" s="22"/>
      <c r="T30" s="22"/>
      <c r="W30" s="25" t="str">
        <f>IF($B$7="heating only",IF(AND(C31&gt;=0,ISNUMBER(C31)),"",1),"")</f>
        <v/>
      </c>
      <c r="X30" s="25" t="str">
        <f>IF($B$7="reversible",IF(AND(H31&gt;=0,ISNUMBER(H31)),"",1),"")</f>
        <v/>
      </c>
      <c r="AD30" s="153"/>
    </row>
    <row r="31" spans="1:30" x14ac:dyDescent="0.25">
      <c r="A31" s="30" t="s">
        <v>54</v>
      </c>
      <c r="B31" s="47">
        <v>3672</v>
      </c>
      <c r="C31" s="12">
        <v>1</v>
      </c>
      <c r="D31" s="58">
        <f t="shared" si="5"/>
        <v>3672</v>
      </c>
      <c r="E31" s="46"/>
      <c r="F31" s="37" t="s">
        <v>54</v>
      </c>
      <c r="G31" s="40">
        <v>0</v>
      </c>
      <c r="H31" s="12"/>
      <c r="I31" s="58">
        <f t="shared" si="6"/>
        <v>0</v>
      </c>
      <c r="J31" s="53"/>
      <c r="K31" s="53"/>
      <c r="L31" s="53"/>
      <c r="M31" s="53"/>
      <c r="N31" s="53"/>
      <c r="O31" s="53"/>
      <c r="P31" s="21"/>
      <c r="Q31" s="22"/>
      <c r="R31" s="22"/>
      <c r="S31" s="22"/>
      <c r="AD31" s="153"/>
    </row>
    <row r="32" spans="1:30" x14ac:dyDescent="0.25">
      <c r="A32" s="26"/>
      <c r="B32" s="21"/>
      <c r="C32" s="21"/>
      <c r="D32" s="21"/>
      <c r="E32" s="21"/>
      <c r="F32" s="21"/>
      <c r="G32" s="21"/>
      <c r="H32" s="21"/>
      <c r="I32" s="21"/>
      <c r="J32" s="53"/>
      <c r="K32" s="53"/>
      <c r="L32" s="53"/>
      <c r="M32" s="53"/>
      <c r="N32" s="53"/>
      <c r="O32" s="53"/>
      <c r="P32" s="21"/>
      <c r="Q32" s="22"/>
      <c r="R32" s="22"/>
      <c r="S32" s="22"/>
      <c r="T32" s="22"/>
      <c r="W32" s="25">
        <f>SUM(W6:Y30)</f>
        <v>0</v>
      </c>
      <c r="AD32" s="153"/>
    </row>
    <row r="33" spans="1:30" ht="18.75" thickBot="1" x14ac:dyDescent="0.3">
      <c r="A33" s="174" t="s">
        <v>4</v>
      </c>
      <c r="B33" s="175"/>
      <c r="C33" s="175"/>
      <c r="D33" s="175"/>
      <c r="E33" s="175"/>
      <c r="F33" s="175"/>
      <c r="G33" s="175"/>
      <c r="H33" s="175"/>
      <c r="I33" s="175"/>
      <c r="J33" s="175"/>
      <c r="K33" s="175"/>
      <c r="L33" s="175"/>
      <c r="M33" s="175"/>
      <c r="N33" s="175"/>
      <c r="O33" s="175"/>
      <c r="P33" s="175"/>
      <c r="Q33" s="176"/>
      <c r="R33" s="22"/>
      <c r="S33" s="22"/>
      <c r="T33" s="22"/>
    </row>
    <row r="34" spans="1:30" ht="54.75" x14ac:dyDescent="0.25">
      <c r="A34" s="177" t="s">
        <v>36</v>
      </c>
      <c r="B34" s="62" t="s">
        <v>55</v>
      </c>
      <c r="C34" s="62" t="s">
        <v>56</v>
      </c>
      <c r="D34" s="62" t="s">
        <v>57</v>
      </c>
      <c r="E34" s="63" t="s">
        <v>58</v>
      </c>
      <c r="F34" s="64" t="s">
        <v>72</v>
      </c>
      <c r="G34" s="179" t="s">
        <v>86</v>
      </c>
      <c r="H34" s="179"/>
      <c r="I34" s="179"/>
      <c r="J34" s="158" t="s">
        <v>84</v>
      </c>
      <c r="K34" s="65" t="s">
        <v>59</v>
      </c>
      <c r="L34" s="62" t="s">
        <v>73</v>
      </c>
      <c r="M34" s="62" t="s">
        <v>87</v>
      </c>
      <c r="N34" s="63" t="s">
        <v>88</v>
      </c>
      <c r="O34" s="65" t="s">
        <v>94</v>
      </c>
      <c r="P34" s="62" t="s">
        <v>93</v>
      </c>
      <c r="Q34" s="63" t="s">
        <v>98</v>
      </c>
      <c r="R34" s="22"/>
      <c r="S34" s="22"/>
      <c r="T34" s="22"/>
    </row>
    <row r="35" spans="1:30" ht="42" customHeight="1" x14ac:dyDescent="0.25">
      <c r="A35" s="178"/>
      <c r="B35" s="157" t="s">
        <v>60</v>
      </c>
      <c r="C35" s="157" t="s">
        <v>61</v>
      </c>
      <c r="D35" s="157" t="s">
        <v>62</v>
      </c>
      <c r="E35" s="66"/>
      <c r="F35" s="67" t="s">
        <v>63</v>
      </c>
      <c r="G35" s="157"/>
      <c r="H35" s="157" t="s">
        <v>76</v>
      </c>
      <c r="I35" s="157" t="s">
        <v>77</v>
      </c>
      <c r="J35" s="66" t="s">
        <v>78</v>
      </c>
      <c r="K35" s="67" t="s">
        <v>64</v>
      </c>
      <c r="L35" s="157" t="s">
        <v>83</v>
      </c>
      <c r="M35" s="157"/>
      <c r="N35" s="66"/>
      <c r="O35" s="68" t="s">
        <v>91</v>
      </c>
      <c r="P35" s="157" t="s">
        <v>90</v>
      </c>
      <c r="Q35" s="66" t="s">
        <v>89</v>
      </c>
      <c r="R35" s="22"/>
      <c r="S35" s="22"/>
      <c r="T35" s="22"/>
      <c r="Y35" s="25" t="s">
        <v>117</v>
      </c>
      <c r="Z35" s="25" t="s">
        <v>117</v>
      </c>
      <c r="AA35" s="25" t="s">
        <v>118</v>
      </c>
      <c r="AB35" s="25" t="s">
        <v>118</v>
      </c>
      <c r="AC35" s="25" t="s">
        <v>119</v>
      </c>
      <c r="AD35" s="25" t="s">
        <v>119</v>
      </c>
    </row>
    <row r="36" spans="1:30" x14ac:dyDescent="0.25">
      <c r="A36" s="69"/>
      <c r="B36" s="70" t="s">
        <v>65</v>
      </c>
      <c r="C36" s="70" t="s">
        <v>20</v>
      </c>
      <c r="D36" s="57" t="s">
        <v>74</v>
      </c>
      <c r="E36" s="71" t="s">
        <v>34</v>
      </c>
      <c r="F36" s="72" t="s">
        <v>75</v>
      </c>
      <c r="G36" s="32" t="s">
        <v>75</v>
      </c>
      <c r="H36" s="32" t="s">
        <v>65</v>
      </c>
      <c r="I36" s="30" t="s">
        <v>65</v>
      </c>
      <c r="J36" s="73" t="s">
        <v>75</v>
      </c>
      <c r="K36" s="74" t="s">
        <v>32</v>
      </c>
      <c r="L36" s="57" t="s">
        <v>32</v>
      </c>
      <c r="M36" s="57" t="s">
        <v>32</v>
      </c>
      <c r="N36" s="71" t="s">
        <v>32</v>
      </c>
      <c r="O36" s="74" t="s">
        <v>32</v>
      </c>
      <c r="P36" s="57" t="s">
        <v>32</v>
      </c>
      <c r="Q36" s="71" t="s">
        <v>32</v>
      </c>
      <c r="R36" s="22"/>
      <c r="S36" s="22"/>
      <c r="T36" s="22"/>
      <c r="V36" s="25">
        <f t="shared" ref="V36:V62" si="7">IF(A36="",0,1)</f>
        <v>0</v>
      </c>
      <c r="W36" s="25">
        <v>0</v>
      </c>
    </row>
    <row r="37" spans="1:30" x14ac:dyDescent="0.25">
      <c r="A37" s="75" t="str">
        <f>IF(OR($E$7="",$E$8=""),"",IF(AND(C37=$B$21,C37=$E$7),"E/F",IF(C37=$B$21,"E",IF(C37=$E$7,"F",""))))</f>
        <v>E</v>
      </c>
      <c r="B37" s="70">
        <v>21</v>
      </c>
      <c r="C37" s="70">
        <v>-10</v>
      </c>
      <c r="D37" s="70">
        <v>1</v>
      </c>
      <c r="E37" s="76">
        <f t="shared" ref="E37:E62" si="8">(C37-16)/($E$5-16)</f>
        <v>1</v>
      </c>
      <c r="F37" s="77">
        <f t="shared" ref="F37:F62" si="9">IF($W$32&gt;0,"",$E$6*E37)</f>
        <v>10</v>
      </c>
      <c r="G37" s="78">
        <f t="shared" ref="G37:G62" si="10">IF($W$32&gt;0,"",IF($C37&lt;$E$8,0,IF($C37=$E$7,F$22,IF($C37=$E$8,F$21,IF($V37=1,$Y37,($C37-$W37)/($X37-$W37)*($Z37-$Y37)+$Y37)))))</f>
        <v>10</v>
      </c>
      <c r="H37" s="78">
        <f t="shared" ref="H37:H62" si="11">IF($W$32&gt;0,"",IF($C37&lt;$E$8,0,IF($C37=$E$7,G$22,IF($C37=$E$8,$G$21,IF($V37=1,$AA37,($C37-$W37)/($X37-$W37)*($AB37-$AA37)+$AA37)))))</f>
        <v>3</v>
      </c>
      <c r="I37" s="78">
        <f t="shared" ref="I37:I62" si="12">IF($W$32&gt;0,"",IF($C37&lt;$E$8,0,IF($C37=$E$7,H$22,IF($C37=$E$8,H$21,IF($V37=1,$AC37,($C37-$W37)/($X37-$W37)*($AD37-$AC37)+$AC37)))))</f>
        <v>0.1</v>
      </c>
      <c r="J37" s="79">
        <f t="shared" ref="J37:J62" si="13">IF($W$32&gt;0,"",IF(C37&lt;$E$8,F37,IF(C37&lt;$E$7,F37-G37,0)))</f>
        <v>0</v>
      </c>
      <c r="K37" s="77">
        <f t="shared" ref="K37:K62" si="14">IF($W$32&gt;0,"",F37*D37)</f>
        <v>10</v>
      </c>
      <c r="L37" s="80">
        <f t="shared" ref="L37:L62" si="15">IF($W$32&gt;0,"",J37*D37)</f>
        <v>0</v>
      </c>
      <c r="M37" s="78">
        <f>IF($W$32&gt;0,"",IF(AND(C37&lt;$E$8,$I$5=0),K37/$K$5,IF(AND(C37&lt;$E$8,$I$5&gt;0),K37/$I$5,IF(AND(C37&lt;$E$7,$I$5=0),D37*(G37/H37+J37/$K$5),IF(AND(C37&lt;$E$7,$I$5&gt;0),D37*(G37/H37+J37/$I$5),K37/H37)))))</f>
        <v>3.3333333333333335</v>
      </c>
      <c r="N37" s="79">
        <f>IF($W$32&gt;0,"",IF(AND(C37&lt;$E$8,$I$8=""),K37*$K$8,IF(AND(C37&lt;$E$8,$I$8&gt;0),K37*$I$8,IF(AND(C37&lt;$E$7,$I$8=""),D37*(G37/I37+J37*$K$8),IF(AND(C37&lt;$E$7,$I$8&gt;0),D37*(G37/I37+J37*$I$8),K37/I37)))))</f>
        <v>100</v>
      </c>
      <c r="O37" s="77">
        <f>IF($W$32&gt;0,"",IF(C37&lt;$E$8,0,D37*(F37-J37)))</f>
        <v>10</v>
      </c>
      <c r="P37" s="78">
        <f>IF($W$32&gt;0,"",IF(C37&lt;$E$8,0,D37*((F37-J37)/H37)))</f>
        <v>3.3333333333333335</v>
      </c>
      <c r="Q37" s="79">
        <f>IF($W$32&gt;0,"",IF(C37&lt;$E$8,0,D37*((F37-J37)/I37)))</f>
        <v>100</v>
      </c>
      <c r="R37" s="81"/>
      <c r="S37" s="22"/>
      <c r="T37" s="22"/>
      <c r="V37" s="25">
        <f t="shared" si="7"/>
        <v>1</v>
      </c>
      <c r="W37" s="25">
        <f t="shared" ref="W37:W59" si="16">IF(V37=0,W36,C37)</f>
        <v>-10</v>
      </c>
      <c r="X37" s="25">
        <f t="shared" ref="X37:X61" si="17">IF(V37=0,X38,C37)</f>
        <v>-10</v>
      </c>
      <c r="Y37" s="25">
        <f t="shared" ref="Y37:Y62" si="18">VLOOKUP(W37,$B$17:$H$22,5,FALSE)</f>
        <v>10</v>
      </c>
      <c r="Z37" s="82">
        <f t="shared" ref="Z37:Z62" si="19">VLOOKUP(X37,$B$17:$H$22,5,FALSE)</f>
        <v>10</v>
      </c>
      <c r="AA37" s="25">
        <f t="shared" ref="AA37:AA62" si="20">VLOOKUP(W37,$B$17:$H$22,6,FALSE)</f>
        <v>3</v>
      </c>
      <c r="AB37" s="82">
        <f t="shared" ref="AB37:AB62" si="21">VLOOKUP(X37,$B$17:$H$22,6,FALSE)</f>
        <v>3</v>
      </c>
      <c r="AC37" s="25">
        <f t="shared" ref="AC37:AC62" si="22">VLOOKUP(W37,$B$17:$H$22,7,FALSE)</f>
        <v>0.1</v>
      </c>
      <c r="AD37" s="82">
        <f t="shared" ref="AD37:AD62" si="23">VLOOKUP(X37,$B$17:$H$22,7,FALSE)</f>
        <v>0.1</v>
      </c>
    </row>
    <row r="38" spans="1:30" x14ac:dyDescent="0.25">
      <c r="A38" s="75" t="str">
        <f t="shared" ref="A38:A39" si="24">IF(OR($E$7="",$E$8=""),"",IF(AND(C38=$B$21,C38=$E$7),"E/F",IF(C38=$B$21,"E",IF(C38=$E$7,"F",""))))</f>
        <v/>
      </c>
      <c r="B38" s="70">
        <v>22</v>
      </c>
      <c r="C38" s="70">
        <v>-9</v>
      </c>
      <c r="D38" s="70">
        <v>25</v>
      </c>
      <c r="E38" s="76">
        <f t="shared" si="8"/>
        <v>0.96153846153846156</v>
      </c>
      <c r="F38" s="77">
        <f t="shared" si="9"/>
        <v>9.615384615384615</v>
      </c>
      <c r="G38" s="78">
        <f t="shared" si="10"/>
        <v>10</v>
      </c>
      <c r="H38" s="78">
        <f t="shared" si="11"/>
        <v>3</v>
      </c>
      <c r="I38" s="78">
        <f t="shared" si="12"/>
        <v>0.1</v>
      </c>
      <c r="J38" s="79">
        <f t="shared" si="13"/>
        <v>-0.38461538461538503</v>
      </c>
      <c r="K38" s="77">
        <f t="shared" si="14"/>
        <v>240.38461538461539</v>
      </c>
      <c r="L38" s="80">
        <f t="shared" si="15"/>
        <v>-9.6153846153846256</v>
      </c>
      <c r="M38" s="78">
        <f t="shared" ref="M38:M62" si="25">IF($W$32&gt;0,"",IF(AND(C38&lt;$E$8,$I$5=0),K38/$K$5,IF(AND(C38&lt;$E$8,$I$5&gt;0),K38/$I$5,IF(AND(C38&lt;$E$7,$I$5=0),D38*(G38/H38+J38/$K$5),IF(AND(C38&lt;$E$7,$I$5&gt;0),D38*(G38/H38+J38/$I$5),K38/H38)))))</f>
        <v>71.314102564102555</v>
      </c>
      <c r="N38" s="79">
        <f t="shared" ref="N38:N62" si="26">IF($W$32&gt;0,"",IF(AND(C38&lt;$E$8,$I$8=""),K38*$K$8,IF(AND(C38&lt;$E$8,$I$8&gt;0),K38*$I$8,IF(AND(C38&lt;$E$7,$I$8=""),D38*(G38/I38+J38*$K$8),IF(AND(C38&lt;$E$7,$I$8&gt;0),D38*(G38/I38+J38*$I$8),K38/I38)))))</f>
        <v>2499.8076923076924</v>
      </c>
      <c r="O38" s="77">
        <f t="shared" ref="O38:O62" si="27">IF($W$32&gt;0,"",IF(C38&lt;$E$8,0,D38*(F38-J38)))</f>
        <v>250</v>
      </c>
      <c r="P38" s="78">
        <f t="shared" ref="P38:P62" si="28">IF($W$32&gt;0,"",IF(C38&lt;$E$8,0,D38*((F38-J38)/H38)))</f>
        <v>83.333333333333343</v>
      </c>
      <c r="Q38" s="79">
        <f t="shared" ref="Q38:Q62" si="29">IF($W$32&gt;0,"",IF(C38&lt;$E$8,0,D38*((F38-J38)/I38)))</f>
        <v>2500</v>
      </c>
      <c r="R38" s="81"/>
      <c r="S38" s="22"/>
      <c r="T38" s="22"/>
      <c r="V38" s="25">
        <f t="shared" si="7"/>
        <v>0</v>
      </c>
      <c r="W38" s="25">
        <f t="shared" si="16"/>
        <v>-10</v>
      </c>
      <c r="X38" s="25">
        <f t="shared" si="17"/>
        <v>-7</v>
      </c>
      <c r="Y38" s="82">
        <f t="shared" si="18"/>
        <v>10</v>
      </c>
      <c r="Z38" s="82">
        <f t="shared" si="19"/>
        <v>10</v>
      </c>
      <c r="AA38" s="25">
        <f t="shared" si="20"/>
        <v>3</v>
      </c>
      <c r="AB38" s="82">
        <f t="shared" si="21"/>
        <v>3</v>
      </c>
      <c r="AC38" s="25">
        <f t="shared" si="22"/>
        <v>0.1</v>
      </c>
      <c r="AD38" s="82">
        <f t="shared" si="23"/>
        <v>0.1</v>
      </c>
    </row>
    <row r="39" spans="1:30" x14ac:dyDescent="0.25">
      <c r="A39" s="75" t="str">
        <f t="shared" si="24"/>
        <v/>
      </c>
      <c r="B39" s="70">
        <v>23</v>
      </c>
      <c r="C39" s="70">
        <v>-8</v>
      </c>
      <c r="D39" s="70">
        <v>23</v>
      </c>
      <c r="E39" s="76">
        <f t="shared" si="8"/>
        <v>0.92307692307692313</v>
      </c>
      <c r="F39" s="77">
        <f t="shared" si="9"/>
        <v>9.2307692307692317</v>
      </c>
      <c r="G39" s="78">
        <f t="shared" si="10"/>
        <v>10</v>
      </c>
      <c r="H39" s="78">
        <f t="shared" si="11"/>
        <v>3</v>
      </c>
      <c r="I39" s="78">
        <f t="shared" si="12"/>
        <v>0.1</v>
      </c>
      <c r="J39" s="79">
        <f t="shared" si="13"/>
        <v>-0.76923076923076827</v>
      </c>
      <c r="K39" s="77">
        <f t="shared" si="14"/>
        <v>212.30769230769232</v>
      </c>
      <c r="L39" s="80">
        <f t="shared" si="15"/>
        <v>-17.692307692307672</v>
      </c>
      <c r="M39" s="78">
        <f t="shared" si="25"/>
        <v>54.55128205128208</v>
      </c>
      <c r="N39" s="79">
        <f t="shared" si="26"/>
        <v>2299.6461538461535</v>
      </c>
      <c r="O39" s="77">
        <f t="shared" si="27"/>
        <v>230</v>
      </c>
      <c r="P39" s="78">
        <f t="shared" si="28"/>
        <v>76.666666666666671</v>
      </c>
      <c r="Q39" s="79">
        <f t="shared" si="29"/>
        <v>2300</v>
      </c>
      <c r="R39" s="81"/>
      <c r="S39" s="22"/>
      <c r="T39" s="22"/>
      <c r="V39" s="25">
        <f t="shared" si="7"/>
        <v>0</v>
      </c>
      <c r="W39" s="25">
        <f t="shared" si="16"/>
        <v>-10</v>
      </c>
      <c r="X39" s="25">
        <f t="shared" si="17"/>
        <v>-7</v>
      </c>
      <c r="Y39" s="82">
        <f t="shared" si="18"/>
        <v>10</v>
      </c>
      <c r="Z39" s="82">
        <f t="shared" si="19"/>
        <v>10</v>
      </c>
      <c r="AA39" s="25">
        <f t="shared" si="20"/>
        <v>3</v>
      </c>
      <c r="AB39" s="82">
        <f t="shared" si="21"/>
        <v>3</v>
      </c>
      <c r="AC39" s="25">
        <f t="shared" si="22"/>
        <v>0.1</v>
      </c>
      <c r="AD39" s="82">
        <f t="shared" si="23"/>
        <v>0.1</v>
      </c>
    </row>
    <row r="40" spans="1:30" x14ac:dyDescent="0.25">
      <c r="A40" s="75" t="str">
        <f>IF(AND(C40=$B$21,C40=$E$7,C40=-7),"A/E/F",IF(C40=$B$21,"A/E",IF(C40=$E$7,"A/F","A")))</f>
        <v>A/F</v>
      </c>
      <c r="B40" s="70">
        <v>24</v>
      </c>
      <c r="C40" s="70">
        <v>-7</v>
      </c>
      <c r="D40" s="70">
        <v>24</v>
      </c>
      <c r="E40" s="76">
        <f t="shared" si="8"/>
        <v>0.88461538461538458</v>
      </c>
      <c r="F40" s="77">
        <f t="shared" si="9"/>
        <v>8.8461538461538467</v>
      </c>
      <c r="G40" s="78">
        <f t="shared" si="10"/>
        <v>10</v>
      </c>
      <c r="H40" s="78">
        <f t="shared" si="11"/>
        <v>3</v>
      </c>
      <c r="I40" s="78">
        <f t="shared" si="12"/>
        <v>0.1</v>
      </c>
      <c r="J40" s="79">
        <f t="shared" si="13"/>
        <v>0</v>
      </c>
      <c r="K40" s="77">
        <f t="shared" si="14"/>
        <v>212.30769230769232</v>
      </c>
      <c r="L40" s="80">
        <f t="shared" si="15"/>
        <v>0</v>
      </c>
      <c r="M40" s="78">
        <f t="shared" si="25"/>
        <v>70.769230769230774</v>
      </c>
      <c r="N40" s="79">
        <f t="shared" si="26"/>
        <v>2123.0769230769229</v>
      </c>
      <c r="O40" s="77">
        <f t="shared" si="27"/>
        <v>212.30769230769232</v>
      </c>
      <c r="P40" s="78">
        <f t="shared" si="28"/>
        <v>70.769230769230774</v>
      </c>
      <c r="Q40" s="79">
        <f t="shared" si="29"/>
        <v>2123.0769230769233</v>
      </c>
      <c r="R40" s="81"/>
      <c r="S40" s="22"/>
      <c r="T40" s="22"/>
      <c r="V40" s="25">
        <f t="shared" si="7"/>
        <v>1</v>
      </c>
      <c r="W40" s="25">
        <f t="shared" si="16"/>
        <v>-7</v>
      </c>
      <c r="X40" s="25">
        <f t="shared" si="17"/>
        <v>-7</v>
      </c>
      <c r="Y40" s="82">
        <f t="shared" si="18"/>
        <v>10</v>
      </c>
      <c r="Z40" s="82">
        <f t="shared" si="19"/>
        <v>10</v>
      </c>
      <c r="AA40" s="25">
        <f t="shared" si="20"/>
        <v>3</v>
      </c>
      <c r="AB40" s="82">
        <f t="shared" si="21"/>
        <v>3</v>
      </c>
      <c r="AC40" s="25">
        <f t="shared" si="22"/>
        <v>0.1</v>
      </c>
      <c r="AD40" s="82">
        <f t="shared" si="23"/>
        <v>0.1</v>
      </c>
    </row>
    <row r="41" spans="1:30" x14ac:dyDescent="0.25">
      <c r="A41" s="75" t="str">
        <f t="shared" ref="A41:A48" si="30">IF(OR($E$7="",$E$8=""),"",IF(AND(C41=$B$21,C41=$E$7),"E/F",IF(C41=$B$21,"E",IF(C41=$E$7,"F",""))))</f>
        <v/>
      </c>
      <c r="B41" s="70">
        <v>25</v>
      </c>
      <c r="C41" s="70">
        <v>-6</v>
      </c>
      <c r="D41" s="70">
        <v>27</v>
      </c>
      <c r="E41" s="76">
        <f t="shared" si="8"/>
        <v>0.84615384615384615</v>
      </c>
      <c r="F41" s="77">
        <f t="shared" si="9"/>
        <v>8.4615384615384617</v>
      </c>
      <c r="G41" s="78">
        <f t="shared" si="10"/>
        <v>10</v>
      </c>
      <c r="H41" s="78">
        <f t="shared" si="11"/>
        <v>3</v>
      </c>
      <c r="I41" s="78">
        <f t="shared" si="12"/>
        <v>0.1</v>
      </c>
      <c r="J41" s="79">
        <f t="shared" si="13"/>
        <v>0</v>
      </c>
      <c r="K41" s="77">
        <f t="shared" si="14"/>
        <v>228.46153846153845</v>
      </c>
      <c r="L41" s="80">
        <f t="shared" si="15"/>
        <v>0</v>
      </c>
      <c r="M41" s="78">
        <f t="shared" si="25"/>
        <v>76.153846153846146</v>
      </c>
      <c r="N41" s="79">
        <f t="shared" si="26"/>
        <v>2284.6153846153843</v>
      </c>
      <c r="O41" s="77">
        <f t="shared" si="27"/>
        <v>228.46153846153845</v>
      </c>
      <c r="P41" s="78">
        <f t="shared" si="28"/>
        <v>76.15384615384616</v>
      </c>
      <c r="Q41" s="79">
        <f t="shared" si="29"/>
        <v>2284.6153846153848</v>
      </c>
      <c r="R41" s="81"/>
      <c r="S41" s="22"/>
      <c r="T41" s="22"/>
      <c r="V41" s="25">
        <f t="shared" si="7"/>
        <v>0</v>
      </c>
      <c r="W41" s="25">
        <f t="shared" si="16"/>
        <v>-7</v>
      </c>
      <c r="X41" s="25">
        <f t="shared" si="17"/>
        <v>2</v>
      </c>
      <c r="Y41" s="82">
        <f t="shared" si="18"/>
        <v>10</v>
      </c>
      <c r="Z41" s="82">
        <f t="shared" si="19"/>
        <v>10</v>
      </c>
      <c r="AA41" s="25">
        <f t="shared" si="20"/>
        <v>3</v>
      </c>
      <c r="AB41" s="82">
        <f t="shared" si="21"/>
        <v>3</v>
      </c>
      <c r="AC41" s="25">
        <f t="shared" si="22"/>
        <v>0.1</v>
      </c>
      <c r="AD41" s="82">
        <f t="shared" si="23"/>
        <v>0.1</v>
      </c>
    </row>
    <row r="42" spans="1:30" x14ac:dyDescent="0.25">
      <c r="A42" s="75" t="str">
        <f t="shared" si="30"/>
        <v/>
      </c>
      <c r="B42" s="70">
        <v>26</v>
      </c>
      <c r="C42" s="70">
        <v>-5</v>
      </c>
      <c r="D42" s="70">
        <v>68</v>
      </c>
      <c r="E42" s="76">
        <f t="shared" si="8"/>
        <v>0.80769230769230771</v>
      </c>
      <c r="F42" s="77">
        <f t="shared" si="9"/>
        <v>8.0769230769230766</v>
      </c>
      <c r="G42" s="78">
        <f t="shared" si="10"/>
        <v>10</v>
      </c>
      <c r="H42" s="78">
        <f t="shared" si="11"/>
        <v>3</v>
      </c>
      <c r="I42" s="78">
        <f t="shared" si="12"/>
        <v>0.1</v>
      </c>
      <c r="J42" s="79">
        <f t="shared" si="13"/>
        <v>0</v>
      </c>
      <c r="K42" s="77">
        <f t="shared" si="14"/>
        <v>549.23076923076917</v>
      </c>
      <c r="L42" s="80">
        <f t="shared" si="15"/>
        <v>0</v>
      </c>
      <c r="M42" s="78">
        <f t="shared" si="25"/>
        <v>183.07692307692307</v>
      </c>
      <c r="N42" s="79">
        <f t="shared" si="26"/>
        <v>5492.3076923076915</v>
      </c>
      <c r="O42" s="77">
        <f t="shared" si="27"/>
        <v>549.23076923076917</v>
      </c>
      <c r="P42" s="78">
        <f t="shared" si="28"/>
        <v>183.07692307692307</v>
      </c>
      <c r="Q42" s="79">
        <f t="shared" si="29"/>
        <v>5492.3076923076915</v>
      </c>
      <c r="R42" s="81"/>
      <c r="S42" s="22"/>
      <c r="T42" s="22"/>
      <c r="V42" s="25">
        <f t="shared" si="7"/>
        <v>0</v>
      </c>
      <c r="W42" s="25">
        <f t="shared" si="16"/>
        <v>-7</v>
      </c>
      <c r="X42" s="25">
        <f t="shared" si="17"/>
        <v>2</v>
      </c>
      <c r="Y42" s="82">
        <f t="shared" si="18"/>
        <v>10</v>
      </c>
      <c r="Z42" s="82">
        <f t="shared" si="19"/>
        <v>10</v>
      </c>
      <c r="AA42" s="25">
        <f t="shared" si="20"/>
        <v>3</v>
      </c>
      <c r="AB42" s="82">
        <f t="shared" si="21"/>
        <v>3</v>
      </c>
      <c r="AC42" s="25">
        <f t="shared" si="22"/>
        <v>0.1</v>
      </c>
      <c r="AD42" s="82">
        <f t="shared" si="23"/>
        <v>0.1</v>
      </c>
    </row>
    <row r="43" spans="1:30" x14ac:dyDescent="0.25">
      <c r="A43" s="75" t="str">
        <f t="shared" si="30"/>
        <v/>
      </c>
      <c r="B43" s="70">
        <v>27</v>
      </c>
      <c r="C43" s="70">
        <v>-4</v>
      </c>
      <c r="D43" s="70">
        <v>91</v>
      </c>
      <c r="E43" s="76">
        <f t="shared" si="8"/>
        <v>0.76923076923076927</v>
      </c>
      <c r="F43" s="77">
        <f t="shared" si="9"/>
        <v>7.6923076923076925</v>
      </c>
      <c r="G43" s="78">
        <f t="shared" si="10"/>
        <v>10</v>
      </c>
      <c r="H43" s="78">
        <f t="shared" si="11"/>
        <v>3</v>
      </c>
      <c r="I43" s="78">
        <f t="shared" si="12"/>
        <v>0.1</v>
      </c>
      <c r="J43" s="79">
        <f t="shared" si="13"/>
        <v>0</v>
      </c>
      <c r="K43" s="77">
        <f t="shared" si="14"/>
        <v>700</v>
      </c>
      <c r="L43" s="80">
        <f t="shared" si="15"/>
        <v>0</v>
      </c>
      <c r="M43" s="78">
        <f t="shared" si="25"/>
        <v>233.33333333333334</v>
      </c>
      <c r="N43" s="79">
        <f t="shared" si="26"/>
        <v>7000</v>
      </c>
      <c r="O43" s="77">
        <f t="shared" si="27"/>
        <v>700</v>
      </c>
      <c r="P43" s="78">
        <f t="shared" si="28"/>
        <v>233.33333333333334</v>
      </c>
      <c r="Q43" s="79">
        <f t="shared" si="29"/>
        <v>7000</v>
      </c>
      <c r="R43" s="81"/>
      <c r="S43" s="22"/>
      <c r="T43" s="22"/>
      <c r="V43" s="25">
        <f t="shared" si="7"/>
        <v>0</v>
      </c>
      <c r="W43" s="25">
        <f t="shared" si="16"/>
        <v>-7</v>
      </c>
      <c r="X43" s="25">
        <f t="shared" si="17"/>
        <v>2</v>
      </c>
      <c r="Y43" s="82">
        <f t="shared" si="18"/>
        <v>10</v>
      </c>
      <c r="Z43" s="82">
        <f t="shared" si="19"/>
        <v>10</v>
      </c>
      <c r="AA43" s="25">
        <f t="shared" si="20"/>
        <v>3</v>
      </c>
      <c r="AB43" s="82">
        <f t="shared" si="21"/>
        <v>3</v>
      </c>
      <c r="AC43" s="25">
        <f t="shared" si="22"/>
        <v>0.1</v>
      </c>
      <c r="AD43" s="82">
        <f t="shared" si="23"/>
        <v>0.1</v>
      </c>
    </row>
    <row r="44" spans="1:30" x14ac:dyDescent="0.25">
      <c r="A44" s="75" t="str">
        <f t="shared" si="30"/>
        <v/>
      </c>
      <c r="B44" s="70">
        <v>28</v>
      </c>
      <c r="C44" s="70">
        <v>-3</v>
      </c>
      <c r="D44" s="70">
        <v>89</v>
      </c>
      <c r="E44" s="76">
        <f t="shared" si="8"/>
        <v>0.73076923076923073</v>
      </c>
      <c r="F44" s="77">
        <f t="shared" si="9"/>
        <v>7.3076923076923075</v>
      </c>
      <c r="G44" s="78">
        <f t="shared" si="10"/>
        <v>10</v>
      </c>
      <c r="H44" s="78">
        <f t="shared" si="11"/>
        <v>3</v>
      </c>
      <c r="I44" s="78">
        <f t="shared" si="12"/>
        <v>0.1</v>
      </c>
      <c r="J44" s="79">
        <f t="shared" si="13"/>
        <v>0</v>
      </c>
      <c r="K44" s="77">
        <f t="shared" si="14"/>
        <v>650.38461538461536</v>
      </c>
      <c r="L44" s="80">
        <f t="shared" si="15"/>
        <v>0</v>
      </c>
      <c r="M44" s="78">
        <f t="shared" si="25"/>
        <v>216.7948717948718</v>
      </c>
      <c r="N44" s="79">
        <f t="shared" si="26"/>
        <v>6503.8461538461534</v>
      </c>
      <c r="O44" s="77">
        <f t="shared" si="27"/>
        <v>650.38461538461536</v>
      </c>
      <c r="P44" s="78">
        <f t="shared" si="28"/>
        <v>216.79487179487177</v>
      </c>
      <c r="Q44" s="79">
        <f t="shared" si="29"/>
        <v>6503.8461538461524</v>
      </c>
      <c r="R44" s="81"/>
      <c r="S44" s="22"/>
      <c r="T44" s="22"/>
      <c r="V44" s="25">
        <f t="shared" si="7"/>
        <v>0</v>
      </c>
      <c r="W44" s="25">
        <f t="shared" si="16"/>
        <v>-7</v>
      </c>
      <c r="X44" s="25">
        <f t="shared" si="17"/>
        <v>2</v>
      </c>
      <c r="Y44" s="82">
        <f t="shared" si="18"/>
        <v>10</v>
      </c>
      <c r="Z44" s="82">
        <f t="shared" si="19"/>
        <v>10</v>
      </c>
      <c r="AA44" s="25">
        <f t="shared" si="20"/>
        <v>3</v>
      </c>
      <c r="AB44" s="82">
        <f t="shared" si="21"/>
        <v>3</v>
      </c>
      <c r="AC44" s="25">
        <f t="shared" si="22"/>
        <v>0.1</v>
      </c>
      <c r="AD44" s="82">
        <f t="shared" si="23"/>
        <v>0.1</v>
      </c>
    </row>
    <row r="45" spans="1:30" x14ac:dyDescent="0.25">
      <c r="A45" s="75" t="str">
        <f t="shared" si="30"/>
        <v/>
      </c>
      <c r="B45" s="70">
        <v>29</v>
      </c>
      <c r="C45" s="70">
        <v>-2</v>
      </c>
      <c r="D45" s="70">
        <v>165</v>
      </c>
      <c r="E45" s="76">
        <f t="shared" si="8"/>
        <v>0.69230769230769229</v>
      </c>
      <c r="F45" s="77">
        <f t="shared" si="9"/>
        <v>6.9230769230769234</v>
      </c>
      <c r="G45" s="78">
        <f t="shared" si="10"/>
        <v>10</v>
      </c>
      <c r="H45" s="78">
        <f t="shared" si="11"/>
        <v>3</v>
      </c>
      <c r="I45" s="78">
        <f t="shared" si="12"/>
        <v>0.1</v>
      </c>
      <c r="J45" s="79">
        <f t="shared" si="13"/>
        <v>0</v>
      </c>
      <c r="K45" s="77">
        <f t="shared" si="14"/>
        <v>1142.3076923076924</v>
      </c>
      <c r="L45" s="80">
        <f t="shared" si="15"/>
        <v>0</v>
      </c>
      <c r="M45" s="78">
        <f t="shared" si="25"/>
        <v>380.76923076923077</v>
      </c>
      <c r="N45" s="79">
        <f t="shared" si="26"/>
        <v>11423.076923076924</v>
      </c>
      <c r="O45" s="77">
        <f t="shared" si="27"/>
        <v>1142.3076923076924</v>
      </c>
      <c r="P45" s="78">
        <f t="shared" si="28"/>
        <v>380.76923076923083</v>
      </c>
      <c r="Q45" s="79">
        <f t="shared" si="29"/>
        <v>11423.076923076922</v>
      </c>
      <c r="R45" s="81"/>
      <c r="S45" s="22"/>
      <c r="T45" s="22"/>
      <c r="V45" s="25">
        <f t="shared" si="7"/>
        <v>0</v>
      </c>
      <c r="W45" s="25">
        <f t="shared" si="16"/>
        <v>-7</v>
      </c>
      <c r="X45" s="25">
        <f t="shared" si="17"/>
        <v>2</v>
      </c>
      <c r="Y45" s="82">
        <f t="shared" si="18"/>
        <v>10</v>
      </c>
      <c r="Z45" s="82">
        <f t="shared" si="19"/>
        <v>10</v>
      </c>
      <c r="AA45" s="25">
        <f t="shared" si="20"/>
        <v>3</v>
      </c>
      <c r="AB45" s="82">
        <f t="shared" si="21"/>
        <v>3</v>
      </c>
      <c r="AC45" s="25">
        <f t="shared" si="22"/>
        <v>0.1</v>
      </c>
      <c r="AD45" s="82">
        <f t="shared" si="23"/>
        <v>0.1</v>
      </c>
    </row>
    <row r="46" spans="1:30" x14ac:dyDescent="0.25">
      <c r="A46" s="75" t="str">
        <f t="shared" si="30"/>
        <v/>
      </c>
      <c r="B46" s="70">
        <v>30</v>
      </c>
      <c r="C46" s="70">
        <v>-1</v>
      </c>
      <c r="D46" s="70">
        <v>173</v>
      </c>
      <c r="E46" s="76">
        <f t="shared" si="8"/>
        <v>0.65384615384615385</v>
      </c>
      <c r="F46" s="77">
        <f t="shared" si="9"/>
        <v>6.5384615384615383</v>
      </c>
      <c r="G46" s="78">
        <f t="shared" si="10"/>
        <v>10</v>
      </c>
      <c r="H46" s="78">
        <f t="shared" si="11"/>
        <v>3</v>
      </c>
      <c r="I46" s="78">
        <f t="shared" si="12"/>
        <v>0.1</v>
      </c>
      <c r="J46" s="79">
        <f t="shared" si="13"/>
        <v>0</v>
      </c>
      <c r="K46" s="77">
        <f t="shared" si="14"/>
        <v>1131.1538461538462</v>
      </c>
      <c r="L46" s="80">
        <f t="shared" si="15"/>
        <v>0</v>
      </c>
      <c r="M46" s="78">
        <f t="shared" si="25"/>
        <v>377.05128205128204</v>
      </c>
      <c r="N46" s="79">
        <f t="shared" si="26"/>
        <v>11311.538461538461</v>
      </c>
      <c r="O46" s="77">
        <f t="shared" si="27"/>
        <v>1131.1538461538462</v>
      </c>
      <c r="P46" s="78">
        <f t="shared" si="28"/>
        <v>377.05128205128204</v>
      </c>
      <c r="Q46" s="79">
        <f t="shared" si="29"/>
        <v>11311.538461538459</v>
      </c>
      <c r="R46" s="81"/>
      <c r="S46" s="22"/>
      <c r="T46" s="22"/>
      <c r="V46" s="25">
        <f t="shared" si="7"/>
        <v>0</v>
      </c>
      <c r="W46" s="25">
        <f t="shared" si="16"/>
        <v>-7</v>
      </c>
      <c r="X46" s="25">
        <f t="shared" si="17"/>
        <v>2</v>
      </c>
      <c r="Y46" s="82">
        <f t="shared" si="18"/>
        <v>10</v>
      </c>
      <c r="Z46" s="82">
        <f t="shared" si="19"/>
        <v>10</v>
      </c>
      <c r="AA46" s="25">
        <f t="shared" si="20"/>
        <v>3</v>
      </c>
      <c r="AB46" s="82">
        <f t="shared" si="21"/>
        <v>3</v>
      </c>
      <c r="AC46" s="25">
        <f t="shared" si="22"/>
        <v>0.1</v>
      </c>
      <c r="AD46" s="82">
        <f t="shared" si="23"/>
        <v>0.1</v>
      </c>
    </row>
    <row r="47" spans="1:30" x14ac:dyDescent="0.25">
      <c r="A47" s="75" t="str">
        <f t="shared" si="30"/>
        <v/>
      </c>
      <c r="B47" s="70">
        <v>31</v>
      </c>
      <c r="C47" s="70">
        <v>0</v>
      </c>
      <c r="D47" s="70">
        <v>240</v>
      </c>
      <c r="E47" s="76">
        <f t="shared" si="8"/>
        <v>0.61538461538461542</v>
      </c>
      <c r="F47" s="77">
        <f t="shared" si="9"/>
        <v>6.1538461538461542</v>
      </c>
      <c r="G47" s="78">
        <f t="shared" si="10"/>
        <v>10</v>
      </c>
      <c r="H47" s="78">
        <f t="shared" si="11"/>
        <v>3</v>
      </c>
      <c r="I47" s="78">
        <f t="shared" si="12"/>
        <v>0.1</v>
      </c>
      <c r="J47" s="79">
        <f t="shared" si="13"/>
        <v>0</v>
      </c>
      <c r="K47" s="77">
        <f t="shared" si="14"/>
        <v>1476.9230769230769</v>
      </c>
      <c r="L47" s="80">
        <f t="shared" si="15"/>
        <v>0</v>
      </c>
      <c r="M47" s="78">
        <f t="shared" si="25"/>
        <v>492.30769230769232</v>
      </c>
      <c r="N47" s="79">
        <f t="shared" si="26"/>
        <v>14769.230769230768</v>
      </c>
      <c r="O47" s="77">
        <f t="shared" si="27"/>
        <v>1476.9230769230769</v>
      </c>
      <c r="P47" s="78">
        <f t="shared" si="28"/>
        <v>492.30769230769238</v>
      </c>
      <c r="Q47" s="79">
        <f t="shared" si="29"/>
        <v>14769.23076923077</v>
      </c>
      <c r="R47" s="81"/>
      <c r="S47" s="22"/>
      <c r="T47" s="22"/>
      <c r="V47" s="25">
        <f t="shared" si="7"/>
        <v>0</v>
      </c>
      <c r="W47" s="25">
        <f t="shared" si="16"/>
        <v>-7</v>
      </c>
      <c r="X47" s="25">
        <f t="shared" si="17"/>
        <v>2</v>
      </c>
      <c r="Y47" s="82">
        <f t="shared" si="18"/>
        <v>10</v>
      </c>
      <c r="Z47" s="82">
        <f t="shared" si="19"/>
        <v>10</v>
      </c>
      <c r="AA47" s="25">
        <f t="shared" si="20"/>
        <v>3</v>
      </c>
      <c r="AB47" s="82">
        <f t="shared" si="21"/>
        <v>3</v>
      </c>
      <c r="AC47" s="25">
        <f t="shared" si="22"/>
        <v>0.1</v>
      </c>
      <c r="AD47" s="82">
        <f t="shared" si="23"/>
        <v>0.1</v>
      </c>
    </row>
    <row r="48" spans="1:30" x14ac:dyDescent="0.25">
      <c r="A48" s="75" t="str">
        <f t="shared" si="30"/>
        <v/>
      </c>
      <c r="B48" s="70">
        <v>32</v>
      </c>
      <c r="C48" s="70">
        <v>1</v>
      </c>
      <c r="D48" s="70">
        <v>280</v>
      </c>
      <c r="E48" s="76">
        <f t="shared" si="8"/>
        <v>0.57692307692307687</v>
      </c>
      <c r="F48" s="77">
        <f t="shared" si="9"/>
        <v>5.7692307692307683</v>
      </c>
      <c r="G48" s="78">
        <f t="shared" si="10"/>
        <v>10</v>
      </c>
      <c r="H48" s="78">
        <f t="shared" si="11"/>
        <v>3</v>
      </c>
      <c r="I48" s="78">
        <f t="shared" si="12"/>
        <v>0.1</v>
      </c>
      <c r="J48" s="79">
        <f t="shared" si="13"/>
        <v>0</v>
      </c>
      <c r="K48" s="77">
        <f t="shared" si="14"/>
        <v>1615.384615384615</v>
      </c>
      <c r="L48" s="80">
        <f t="shared" si="15"/>
        <v>0</v>
      </c>
      <c r="M48" s="78">
        <f t="shared" si="25"/>
        <v>538.46153846153834</v>
      </c>
      <c r="N48" s="79">
        <f t="shared" si="26"/>
        <v>16153.846153846149</v>
      </c>
      <c r="O48" s="77">
        <f t="shared" si="27"/>
        <v>1615.384615384615</v>
      </c>
      <c r="P48" s="78">
        <f t="shared" si="28"/>
        <v>538.46153846153834</v>
      </c>
      <c r="Q48" s="79">
        <f t="shared" si="29"/>
        <v>16153.846153846151</v>
      </c>
      <c r="R48" s="81"/>
      <c r="S48" s="22"/>
      <c r="T48" s="22"/>
      <c r="V48" s="25">
        <f t="shared" si="7"/>
        <v>0</v>
      </c>
      <c r="W48" s="25">
        <f t="shared" si="16"/>
        <v>-7</v>
      </c>
      <c r="X48" s="25">
        <f t="shared" si="17"/>
        <v>2</v>
      </c>
      <c r="Y48" s="82">
        <f t="shared" si="18"/>
        <v>10</v>
      </c>
      <c r="Z48" s="82">
        <f t="shared" si="19"/>
        <v>10</v>
      </c>
      <c r="AA48" s="25">
        <f t="shared" si="20"/>
        <v>3</v>
      </c>
      <c r="AB48" s="82">
        <f t="shared" si="21"/>
        <v>3</v>
      </c>
      <c r="AC48" s="25">
        <f t="shared" si="22"/>
        <v>0.1</v>
      </c>
      <c r="AD48" s="82">
        <f t="shared" si="23"/>
        <v>0.1</v>
      </c>
    </row>
    <row r="49" spans="1:30" x14ac:dyDescent="0.25">
      <c r="A49" s="75" t="str">
        <f>IF(AND(C49=$B$21,C49=$E$7,C49=2),"B/E/F",IF(C49=$B$21,"B/E",IF(C49=$E$7,"B/F","B")))</f>
        <v>B</v>
      </c>
      <c r="B49" s="70">
        <v>33</v>
      </c>
      <c r="C49" s="70">
        <v>2</v>
      </c>
      <c r="D49" s="70">
        <v>320</v>
      </c>
      <c r="E49" s="76">
        <f t="shared" si="8"/>
        <v>0.53846153846153844</v>
      </c>
      <c r="F49" s="77">
        <f t="shared" si="9"/>
        <v>5.3846153846153841</v>
      </c>
      <c r="G49" s="78">
        <f t="shared" si="10"/>
        <v>10</v>
      </c>
      <c r="H49" s="78">
        <f t="shared" si="11"/>
        <v>3</v>
      </c>
      <c r="I49" s="78">
        <f t="shared" si="12"/>
        <v>0.1</v>
      </c>
      <c r="J49" s="79">
        <f t="shared" si="13"/>
        <v>0</v>
      </c>
      <c r="K49" s="77">
        <f t="shared" si="14"/>
        <v>1723.0769230769229</v>
      </c>
      <c r="L49" s="80">
        <f t="shared" si="15"/>
        <v>0</v>
      </c>
      <c r="M49" s="78">
        <f t="shared" si="25"/>
        <v>574.35897435897425</v>
      </c>
      <c r="N49" s="79">
        <f t="shared" si="26"/>
        <v>17230.769230769227</v>
      </c>
      <c r="O49" s="77">
        <f t="shared" si="27"/>
        <v>1723.0769230769229</v>
      </c>
      <c r="P49" s="78">
        <f t="shared" si="28"/>
        <v>574.35897435897436</v>
      </c>
      <c r="Q49" s="79">
        <f t="shared" si="29"/>
        <v>17230.769230769227</v>
      </c>
      <c r="R49" s="81"/>
      <c r="S49" s="22"/>
      <c r="T49" s="22"/>
      <c r="V49" s="25">
        <f t="shared" si="7"/>
        <v>1</v>
      </c>
      <c r="W49" s="25">
        <f t="shared" si="16"/>
        <v>2</v>
      </c>
      <c r="X49" s="25">
        <f t="shared" si="17"/>
        <v>2</v>
      </c>
      <c r="Y49" s="82">
        <f t="shared" si="18"/>
        <v>10</v>
      </c>
      <c r="Z49" s="82">
        <f t="shared" si="19"/>
        <v>10</v>
      </c>
      <c r="AA49" s="25">
        <f t="shared" si="20"/>
        <v>3</v>
      </c>
      <c r="AB49" s="82">
        <f t="shared" si="21"/>
        <v>3</v>
      </c>
      <c r="AC49" s="25">
        <f t="shared" si="22"/>
        <v>0.1</v>
      </c>
      <c r="AD49" s="82">
        <f t="shared" si="23"/>
        <v>0.1</v>
      </c>
    </row>
    <row r="50" spans="1:30" x14ac:dyDescent="0.25">
      <c r="A50" s="75"/>
      <c r="B50" s="70">
        <v>34</v>
      </c>
      <c r="C50" s="70">
        <v>3</v>
      </c>
      <c r="D50" s="70">
        <v>357</v>
      </c>
      <c r="E50" s="76">
        <f t="shared" si="8"/>
        <v>0.5</v>
      </c>
      <c r="F50" s="77">
        <f t="shared" si="9"/>
        <v>5</v>
      </c>
      <c r="G50" s="78">
        <f t="shared" si="10"/>
        <v>10</v>
      </c>
      <c r="H50" s="78">
        <f t="shared" si="11"/>
        <v>3</v>
      </c>
      <c r="I50" s="78">
        <f t="shared" si="12"/>
        <v>0.1</v>
      </c>
      <c r="J50" s="79">
        <f t="shared" si="13"/>
        <v>0</v>
      </c>
      <c r="K50" s="77">
        <f t="shared" si="14"/>
        <v>1785</v>
      </c>
      <c r="L50" s="80">
        <f t="shared" si="15"/>
        <v>0</v>
      </c>
      <c r="M50" s="78">
        <f t="shared" si="25"/>
        <v>595</v>
      </c>
      <c r="N50" s="79">
        <f t="shared" si="26"/>
        <v>17850</v>
      </c>
      <c r="O50" s="77">
        <f t="shared" si="27"/>
        <v>1785</v>
      </c>
      <c r="P50" s="78">
        <f t="shared" si="28"/>
        <v>595</v>
      </c>
      <c r="Q50" s="79">
        <f t="shared" si="29"/>
        <v>17850</v>
      </c>
      <c r="R50" s="81"/>
      <c r="S50" s="22"/>
      <c r="T50" s="22"/>
      <c r="V50" s="25">
        <f t="shared" si="7"/>
        <v>0</v>
      </c>
      <c r="W50" s="25">
        <f t="shared" si="16"/>
        <v>2</v>
      </c>
      <c r="X50" s="25">
        <f t="shared" si="17"/>
        <v>7</v>
      </c>
      <c r="Y50" s="82">
        <f t="shared" si="18"/>
        <v>10</v>
      </c>
      <c r="Z50" s="82">
        <f t="shared" si="19"/>
        <v>10</v>
      </c>
      <c r="AA50" s="25">
        <f t="shared" si="20"/>
        <v>3</v>
      </c>
      <c r="AB50" s="82">
        <f t="shared" si="21"/>
        <v>3</v>
      </c>
      <c r="AC50" s="25">
        <f t="shared" si="22"/>
        <v>0.1</v>
      </c>
      <c r="AD50" s="82">
        <f t="shared" si="23"/>
        <v>0.1</v>
      </c>
    </row>
    <row r="51" spans="1:30" x14ac:dyDescent="0.25">
      <c r="A51" s="75"/>
      <c r="B51" s="70">
        <v>35</v>
      </c>
      <c r="C51" s="70">
        <v>4</v>
      </c>
      <c r="D51" s="70">
        <v>356</v>
      </c>
      <c r="E51" s="76">
        <f t="shared" si="8"/>
        <v>0.46153846153846156</v>
      </c>
      <c r="F51" s="77">
        <f t="shared" si="9"/>
        <v>4.6153846153846159</v>
      </c>
      <c r="G51" s="78">
        <f t="shared" si="10"/>
        <v>10</v>
      </c>
      <c r="H51" s="78">
        <f t="shared" si="11"/>
        <v>3</v>
      </c>
      <c r="I51" s="78">
        <f t="shared" si="12"/>
        <v>0.1</v>
      </c>
      <c r="J51" s="79">
        <f t="shared" si="13"/>
        <v>0</v>
      </c>
      <c r="K51" s="77">
        <f t="shared" si="14"/>
        <v>1643.0769230769233</v>
      </c>
      <c r="L51" s="80">
        <f t="shared" si="15"/>
        <v>0</v>
      </c>
      <c r="M51" s="78">
        <f t="shared" si="25"/>
        <v>547.69230769230774</v>
      </c>
      <c r="N51" s="79">
        <f t="shared" si="26"/>
        <v>16430.76923076923</v>
      </c>
      <c r="O51" s="77">
        <f t="shared" si="27"/>
        <v>1643.0769230769233</v>
      </c>
      <c r="P51" s="78">
        <f t="shared" si="28"/>
        <v>547.69230769230774</v>
      </c>
      <c r="Q51" s="79">
        <f t="shared" si="29"/>
        <v>16430.76923076923</v>
      </c>
      <c r="R51" s="81"/>
      <c r="S51" s="22"/>
      <c r="T51" s="22"/>
      <c r="V51" s="25">
        <f t="shared" si="7"/>
        <v>0</v>
      </c>
      <c r="W51" s="25">
        <f t="shared" si="16"/>
        <v>2</v>
      </c>
      <c r="X51" s="25">
        <f t="shared" si="17"/>
        <v>7</v>
      </c>
      <c r="Y51" s="82">
        <f t="shared" si="18"/>
        <v>10</v>
      </c>
      <c r="Z51" s="82">
        <f t="shared" si="19"/>
        <v>10</v>
      </c>
      <c r="AA51" s="25">
        <f t="shared" si="20"/>
        <v>3</v>
      </c>
      <c r="AB51" s="82">
        <f t="shared" si="21"/>
        <v>3</v>
      </c>
      <c r="AC51" s="25">
        <f t="shared" si="22"/>
        <v>0.1</v>
      </c>
      <c r="AD51" s="82">
        <f t="shared" si="23"/>
        <v>0.1</v>
      </c>
    </row>
    <row r="52" spans="1:30" x14ac:dyDescent="0.25">
      <c r="A52" s="75"/>
      <c r="B52" s="70">
        <v>36</v>
      </c>
      <c r="C52" s="70">
        <v>5</v>
      </c>
      <c r="D52" s="70">
        <v>303</v>
      </c>
      <c r="E52" s="76">
        <f t="shared" si="8"/>
        <v>0.42307692307692307</v>
      </c>
      <c r="F52" s="77">
        <f t="shared" si="9"/>
        <v>4.2307692307692308</v>
      </c>
      <c r="G52" s="78">
        <f t="shared" si="10"/>
        <v>10</v>
      </c>
      <c r="H52" s="78">
        <f t="shared" si="11"/>
        <v>3</v>
      </c>
      <c r="I52" s="78">
        <f t="shared" si="12"/>
        <v>0.1</v>
      </c>
      <c r="J52" s="79">
        <f t="shared" si="13"/>
        <v>0</v>
      </c>
      <c r="K52" s="77">
        <f t="shared" si="14"/>
        <v>1281.9230769230769</v>
      </c>
      <c r="L52" s="80">
        <f t="shared" si="15"/>
        <v>0</v>
      </c>
      <c r="M52" s="78">
        <f t="shared" si="25"/>
        <v>427.30769230769232</v>
      </c>
      <c r="N52" s="79">
        <f t="shared" si="26"/>
        <v>12819.230769230768</v>
      </c>
      <c r="O52" s="77">
        <f t="shared" si="27"/>
        <v>1281.9230769230769</v>
      </c>
      <c r="P52" s="78">
        <f t="shared" si="28"/>
        <v>427.30769230769232</v>
      </c>
      <c r="Q52" s="79">
        <f t="shared" si="29"/>
        <v>12819.23076923077</v>
      </c>
      <c r="R52" s="81"/>
      <c r="S52" s="22"/>
      <c r="T52" s="22"/>
      <c r="V52" s="25">
        <f t="shared" si="7"/>
        <v>0</v>
      </c>
      <c r="W52" s="25">
        <f t="shared" si="16"/>
        <v>2</v>
      </c>
      <c r="X52" s="25">
        <f t="shared" si="17"/>
        <v>7</v>
      </c>
      <c r="Y52" s="82">
        <f t="shared" si="18"/>
        <v>10</v>
      </c>
      <c r="Z52" s="82">
        <f t="shared" si="19"/>
        <v>10</v>
      </c>
      <c r="AA52" s="25">
        <f t="shared" si="20"/>
        <v>3</v>
      </c>
      <c r="AB52" s="82">
        <f t="shared" si="21"/>
        <v>3</v>
      </c>
      <c r="AC52" s="25">
        <f t="shared" si="22"/>
        <v>0.1</v>
      </c>
      <c r="AD52" s="82">
        <f t="shared" si="23"/>
        <v>0.1</v>
      </c>
    </row>
    <row r="53" spans="1:30" x14ac:dyDescent="0.25">
      <c r="A53" s="75"/>
      <c r="B53" s="70">
        <v>37</v>
      </c>
      <c r="C53" s="70">
        <v>6</v>
      </c>
      <c r="D53" s="70">
        <v>330</v>
      </c>
      <c r="E53" s="76">
        <f t="shared" si="8"/>
        <v>0.38461538461538464</v>
      </c>
      <c r="F53" s="77">
        <f t="shared" si="9"/>
        <v>3.8461538461538463</v>
      </c>
      <c r="G53" s="78">
        <f t="shared" si="10"/>
        <v>10</v>
      </c>
      <c r="H53" s="78">
        <f t="shared" si="11"/>
        <v>3</v>
      </c>
      <c r="I53" s="78">
        <f t="shared" si="12"/>
        <v>0.1</v>
      </c>
      <c r="J53" s="79">
        <f t="shared" si="13"/>
        <v>0</v>
      </c>
      <c r="K53" s="77">
        <f t="shared" si="14"/>
        <v>1269.2307692307693</v>
      </c>
      <c r="L53" s="80">
        <f t="shared" si="15"/>
        <v>0</v>
      </c>
      <c r="M53" s="78">
        <f t="shared" si="25"/>
        <v>423.07692307692309</v>
      </c>
      <c r="N53" s="79">
        <f t="shared" si="26"/>
        <v>12692.307692307691</v>
      </c>
      <c r="O53" s="77">
        <f t="shared" si="27"/>
        <v>1269.2307692307693</v>
      </c>
      <c r="P53" s="78">
        <f t="shared" si="28"/>
        <v>423.07692307692309</v>
      </c>
      <c r="Q53" s="79">
        <f t="shared" si="29"/>
        <v>12692.307692307691</v>
      </c>
      <c r="R53" s="81"/>
      <c r="S53" s="22"/>
      <c r="T53" s="22"/>
      <c r="V53" s="25">
        <f t="shared" si="7"/>
        <v>0</v>
      </c>
      <c r="W53" s="25">
        <f t="shared" si="16"/>
        <v>2</v>
      </c>
      <c r="X53" s="25">
        <f t="shared" si="17"/>
        <v>7</v>
      </c>
      <c r="Y53" s="82">
        <f t="shared" si="18"/>
        <v>10</v>
      </c>
      <c r="Z53" s="82">
        <f t="shared" si="19"/>
        <v>10</v>
      </c>
      <c r="AA53" s="25">
        <f t="shared" si="20"/>
        <v>3</v>
      </c>
      <c r="AB53" s="82">
        <f t="shared" si="21"/>
        <v>3</v>
      </c>
      <c r="AC53" s="25">
        <f t="shared" si="22"/>
        <v>0.1</v>
      </c>
      <c r="AD53" s="82">
        <f t="shared" si="23"/>
        <v>0.1</v>
      </c>
    </row>
    <row r="54" spans="1:30" x14ac:dyDescent="0.25">
      <c r="A54" s="75" t="s">
        <v>44</v>
      </c>
      <c r="B54" s="70">
        <v>38</v>
      </c>
      <c r="C54" s="70">
        <v>7</v>
      </c>
      <c r="D54" s="70">
        <v>326</v>
      </c>
      <c r="E54" s="76">
        <f t="shared" si="8"/>
        <v>0.34615384615384615</v>
      </c>
      <c r="F54" s="77">
        <f t="shared" si="9"/>
        <v>3.4615384615384617</v>
      </c>
      <c r="G54" s="78">
        <f t="shared" si="10"/>
        <v>10</v>
      </c>
      <c r="H54" s="78">
        <f t="shared" si="11"/>
        <v>3</v>
      </c>
      <c r="I54" s="78">
        <f t="shared" si="12"/>
        <v>0.1</v>
      </c>
      <c r="J54" s="79">
        <f t="shared" si="13"/>
        <v>0</v>
      </c>
      <c r="K54" s="77">
        <f t="shared" si="14"/>
        <v>1128.4615384615386</v>
      </c>
      <c r="L54" s="80">
        <f t="shared" si="15"/>
        <v>0</v>
      </c>
      <c r="M54" s="78">
        <f t="shared" si="25"/>
        <v>376.15384615384619</v>
      </c>
      <c r="N54" s="79">
        <f t="shared" si="26"/>
        <v>11284.615384615385</v>
      </c>
      <c r="O54" s="77">
        <f t="shared" si="27"/>
        <v>1128.4615384615386</v>
      </c>
      <c r="P54" s="78">
        <f t="shared" si="28"/>
        <v>376.15384615384619</v>
      </c>
      <c r="Q54" s="79">
        <f t="shared" si="29"/>
        <v>11284.615384615385</v>
      </c>
      <c r="R54" s="81"/>
      <c r="S54" s="22"/>
      <c r="T54" s="22"/>
      <c r="V54" s="25">
        <f t="shared" si="7"/>
        <v>1</v>
      </c>
      <c r="W54" s="25">
        <f t="shared" si="16"/>
        <v>7</v>
      </c>
      <c r="X54" s="25">
        <f t="shared" si="17"/>
        <v>7</v>
      </c>
      <c r="Y54" s="82">
        <f t="shared" si="18"/>
        <v>10</v>
      </c>
      <c r="Z54" s="82">
        <f t="shared" si="19"/>
        <v>10</v>
      </c>
      <c r="AA54" s="25">
        <f t="shared" si="20"/>
        <v>3</v>
      </c>
      <c r="AB54" s="82">
        <f t="shared" si="21"/>
        <v>3</v>
      </c>
      <c r="AC54" s="25">
        <f t="shared" si="22"/>
        <v>0.1</v>
      </c>
      <c r="AD54" s="82">
        <f t="shared" si="23"/>
        <v>0.1</v>
      </c>
    </row>
    <row r="55" spans="1:30" x14ac:dyDescent="0.25">
      <c r="A55" s="75"/>
      <c r="B55" s="70">
        <v>39</v>
      </c>
      <c r="C55" s="70">
        <v>8</v>
      </c>
      <c r="D55" s="70">
        <v>348</v>
      </c>
      <c r="E55" s="76">
        <f t="shared" si="8"/>
        <v>0.30769230769230771</v>
      </c>
      <c r="F55" s="77">
        <f t="shared" si="9"/>
        <v>3.0769230769230771</v>
      </c>
      <c r="G55" s="78">
        <f t="shared" si="10"/>
        <v>10</v>
      </c>
      <c r="H55" s="78">
        <f t="shared" si="11"/>
        <v>3</v>
      </c>
      <c r="I55" s="78">
        <f t="shared" si="12"/>
        <v>0.1</v>
      </c>
      <c r="J55" s="79">
        <f t="shared" si="13"/>
        <v>0</v>
      </c>
      <c r="K55" s="77">
        <f t="shared" si="14"/>
        <v>1070.7692307692307</v>
      </c>
      <c r="L55" s="80">
        <f t="shared" si="15"/>
        <v>0</v>
      </c>
      <c r="M55" s="78">
        <f t="shared" si="25"/>
        <v>356.92307692307691</v>
      </c>
      <c r="N55" s="79">
        <f t="shared" si="26"/>
        <v>10707.692307692307</v>
      </c>
      <c r="O55" s="77">
        <f t="shared" si="27"/>
        <v>1070.7692307692307</v>
      </c>
      <c r="P55" s="78">
        <f t="shared" si="28"/>
        <v>356.92307692307696</v>
      </c>
      <c r="Q55" s="79">
        <f t="shared" si="29"/>
        <v>10707.692307692309</v>
      </c>
      <c r="R55" s="81"/>
      <c r="S55" s="22"/>
      <c r="T55" s="22"/>
      <c r="V55" s="25">
        <f t="shared" si="7"/>
        <v>0</v>
      </c>
      <c r="W55" s="25">
        <f t="shared" si="16"/>
        <v>7</v>
      </c>
      <c r="X55" s="25">
        <f t="shared" si="17"/>
        <v>12</v>
      </c>
      <c r="Y55" s="82">
        <f t="shared" si="18"/>
        <v>10</v>
      </c>
      <c r="Z55" s="82">
        <f t="shared" si="19"/>
        <v>10</v>
      </c>
      <c r="AA55" s="25">
        <f t="shared" si="20"/>
        <v>3</v>
      </c>
      <c r="AB55" s="82">
        <f t="shared" si="21"/>
        <v>3</v>
      </c>
      <c r="AC55" s="25">
        <f t="shared" si="22"/>
        <v>0.1</v>
      </c>
      <c r="AD55" s="82">
        <f t="shared" si="23"/>
        <v>0.1</v>
      </c>
    </row>
    <row r="56" spans="1:30" x14ac:dyDescent="0.25">
      <c r="A56" s="75"/>
      <c r="B56" s="70">
        <v>40</v>
      </c>
      <c r="C56" s="70">
        <v>9</v>
      </c>
      <c r="D56" s="70">
        <v>335</v>
      </c>
      <c r="E56" s="76">
        <f t="shared" si="8"/>
        <v>0.26923076923076922</v>
      </c>
      <c r="F56" s="77">
        <f t="shared" si="9"/>
        <v>2.6923076923076921</v>
      </c>
      <c r="G56" s="78">
        <f t="shared" si="10"/>
        <v>10</v>
      </c>
      <c r="H56" s="78">
        <f t="shared" si="11"/>
        <v>3</v>
      </c>
      <c r="I56" s="78">
        <f t="shared" si="12"/>
        <v>0.1</v>
      </c>
      <c r="J56" s="79">
        <f t="shared" si="13"/>
        <v>0</v>
      </c>
      <c r="K56" s="77">
        <f t="shared" si="14"/>
        <v>901.92307692307679</v>
      </c>
      <c r="L56" s="80">
        <f t="shared" si="15"/>
        <v>0</v>
      </c>
      <c r="M56" s="78">
        <f t="shared" si="25"/>
        <v>300.64102564102558</v>
      </c>
      <c r="N56" s="79">
        <f t="shared" si="26"/>
        <v>9019.2307692307677</v>
      </c>
      <c r="O56" s="77">
        <f t="shared" si="27"/>
        <v>901.92307692307679</v>
      </c>
      <c r="P56" s="78">
        <f t="shared" si="28"/>
        <v>300.64102564102564</v>
      </c>
      <c r="Q56" s="79">
        <f t="shared" si="29"/>
        <v>9019.2307692307677</v>
      </c>
      <c r="R56" s="81"/>
      <c r="S56" s="22"/>
      <c r="T56" s="22"/>
      <c r="V56" s="25">
        <f t="shared" si="7"/>
        <v>0</v>
      </c>
      <c r="W56" s="25">
        <f t="shared" si="16"/>
        <v>7</v>
      </c>
      <c r="X56" s="25">
        <f t="shared" si="17"/>
        <v>12</v>
      </c>
      <c r="Y56" s="82">
        <f t="shared" si="18"/>
        <v>10</v>
      </c>
      <c r="Z56" s="82">
        <f t="shared" si="19"/>
        <v>10</v>
      </c>
      <c r="AA56" s="25">
        <f t="shared" si="20"/>
        <v>3</v>
      </c>
      <c r="AB56" s="82">
        <f t="shared" si="21"/>
        <v>3</v>
      </c>
      <c r="AC56" s="25">
        <f t="shared" si="22"/>
        <v>0.1</v>
      </c>
      <c r="AD56" s="82">
        <f t="shared" si="23"/>
        <v>0.1</v>
      </c>
    </row>
    <row r="57" spans="1:30" x14ac:dyDescent="0.25">
      <c r="A57" s="75"/>
      <c r="B57" s="70">
        <v>41</v>
      </c>
      <c r="C57" s="70">
        <v>10</v>
      </c>
      <c r="D57" s="70">
        <v>315</v>
      </c>
      <c r="E57" s="76">
        <f t="shared" si="8"/>
        <v>0.23076923076923078</v>
      </c>
      <c r="F57" s="77">
        <f t="shared" si="9"/>
        <v>2.3076923076923079</v>
      </c>
      <c r="G57" s="78">
        <f t="shared" si="10"/>
        <v>10</v>
      </c>
      <c r="H57" s="78">
        <f t="shared" si="11"/>
        <v>3</v>
      </c>
      <c r="I57" s="78">
        <f t="shared" si="12"/>
        <v>0.1</v>
      </c>
      <c r="J57" s="79">
        <f t="shared" si="13"/>
        <v>0</v>
      </c>
      <c r="K57" s="77">
        <f t="shared" si="14"/>
        <v>726.92307692307702</v>
      </c>
      <c r="L57" s="80">
        <f t="shared" si="15"/>
        <v>0</v>
      </c>
      <c r="M57" s="78">
        <f t="shared" si="25"/>
        <v>242.30769230769235</v>
      </c>
      <c r="N57" s="79">
        <f t="shared" si="26"/>
        <v>7269.2307692307695</v>
      </c>
      <c r="O57" s="77">
        <f t="shared" si="27"/>
        <v>726.92307692307702</v>
      </c>
      <c r="P57" s="78">
        <f t="shared" si="28"/>
        <v>242.30769230769232</v>
      </c>
      <c r="Q57" s="79">
        <f t="shared" si="29"/>
        <v>7269.2307692307695</v>
      </c>
      <c r="R57" s="81"/>
      <c r="S57" s="22"/>
      <c r="T57" s="22"/>
      <c r="V57" s="25">
        <f t="shared" si="7"/>
        <v>0</v>
      </c>
      <c r="W57" s="25">
        <f t="shared" si="16"/>
        <v>7</v>
      </c>
      <c r="X57" s="25">
        <f t="shared" si="17"/>
        <v>12</v>
      </c>
      <c r="Y57" s="82">
        <f t="shared" si="18"/>
        <v>10</v>
      </c>
      <c r="Z57" s="82">
        <f t="shared" si="19"/>
        <v>10</v>
      </c>
      <c r="AA57" s="25">
        <f t="shared" si="20"/>
        <v>3</v>
      </c>
      <c r="AB57" s="82">
        <f t="shared" si="21"/>
        <v>3</v>
      </c>
      <c r="AC57" s="25">
        <f t="shared" si="22"/>
        <v>0.1</v>
      </c>
      <c r="AD57" s="82">
        <f t="shared" si="23"/>
        <v>0.1</v>
      </c>
    </row>
    <row r="58" spans="1:30" x14ac:dyDescent="0.25">
      <c r="A58" s="75"/>
      <c r="B58" s="70">
        <v>42</v>
      </c>
      <c r="C58" s="70">
        <v>11</v>
      </c>
      <c r="D58" s="70">
        <v>215</v>
      </c>
      <c r="E58" s="76">
        <f t="shared" si="8"/>
        <v>0.19230769230769232</v>
      </c>
      <c r="F58" s="77">
        <f t="shared" si="9"/>
        <v>1.9230769230769231</v>
      </c>
      <c r="G58" s="78">
        <f t="shared" si="10"/>
        <v>10</v>
      </c>
      <c r="H58" s="78">
        <f t="shared" si="11"/>
        <v>3</v>
      </c>
      <c r="I58" s="78">
        <f t="shared" si="12"/>
        <v>0.1</v>
      </c>
      <c r="J58" s="79">
        <f t="shared" si="13"/>
        <v>0</v>
      </c>
      <c r="K58" s="77">
        <f t="shared" si="14"/>
        <v>413.46153846153845</v>
      </c>
      <c r="L58" s="80">
        <f t="shared" si="15"/>
        <v>0</v>
      </c>
      <c r="M58" s="78">
        <f t="shared" si="25"/>
        <v>137.82051282051282</v>
      </c>
      <c r="N58" s="79">
        <f t="shared" si="26"/>
        <v>4134.6153846153838</v>
      </c>
      <c r="O58" s="77">
        <f t="shared" si="27"/>
        <v>413.46153846153845</v>
      </c>
      <c r="P58" s="78">
        <f t="shared" si="28"/>
        <v>137.82051282051285</v>
      </c>
      <c r="Q58" s="79">
        <f t="shared" si="29"/>
        <v>4134.6153846153848</v>
      </c>
      <c r="R58" s="81"/>
      <c r="S58" s="22"/>
      <c r="T58" s="22"/>
      <c r="V58" s="25">
        <f t="shared" si="7"/>
        <v>0</v>
      </c>
      <c r="W58" s="25">
        <f t="shared" si="16"/>
        <v>7</v>
      </c>
      <c r="X58" s="25">
        <f t="shared" si="17"/>
        <v>12</v>
      </c>
      <c r="Y58" s="82">
        <f t="shared" si="18"/>
        <v>10</v>
      </c>
      <c r="Z58" s="82">
        <f t="shared" si="19"/>
        <v>10</v>
      </c>
      <c r="AA58" s="25">
        <f t="shared" si="20"/>
        <v>3</v>
      </c>
      <c r="AB58" s="82">
        <f t="shared" si="21"/>
        <v>3</v>
      </c>
      <c r="AC58" s="25">
        <f t="shared" si="22"/>
        <v>0.1</v>
      </c>
      <c r="AD58" s="82">
        <f t="shared" si="23"/>
        <v>0.1</v>
      </c>
    </row>
    <row r="59" spans="1:30" x14ac:dyDescent="0.25">
      <c r="A59" s="75" t="s">
        <v>45</v>
      </c>
      <c r="B59" s="70">
        <v>43</v>
      </c>
      <c r="C59" s="70">
        <v>12</v>
      </c>
      <c r="D59" s="70">
        <v>169</v>
      </c>
      <c r="E59" s="76">
        <f t="shared" si="8"/>
        <v>0.15384615384615385</v>
      </c>
      <c r="F59" s="77">
        <f t="shared" si="9"/>
        <v>1.5384615384615385</v>
      </c>
      <c r="G59" s="78">
        <f t="shared" si="10"/>
        <v>10</v>
      </c>
      <c r="H59" s="78">
        <f t="shared" si="11"/>
        <v>3</v>
      </c>
      <c r="I59" s="78">
        <f t="shared" si="12"/>
        <v>0.1</v>
      </c>
      <c r="J59" s="79">
        <f t="shared" si="13"/>
        <v>0</v>
      </c>
      <c r="K59" s="77">
        <f t="shared" si="14"/>
        <v>260</v>
      </c>
      <c r="L59" s="80">
        <f t="shared" si="15"/>
        <v>0</v>
      </c>
      <c r="M59" s="78">
        <f t="shared" si="25"/>
        <v>86.666666666666671</v>
      </c>
      <c r="N59" s="79">
        <f t="shared" si="26"/>
        <v>2600</v>
      </c>
      <c r="O59" s="77">
        <f t="shared" si="27"/>
        <v>260</v>
      </c>
      <c r="P59" s="78">
        <f t="shared" si="28"/>
        <v>86.666666666666671</v>
      </c>
      <c r="Q59" s="79">
        <f t="shared" si="29"/>
        <v>2600</v>
      </c>
      <c r="R59" s="81"/>
      <c r="S59" s="22"/>
      <c r="T59" s="22"/>
      <c r="V59" s="25">
        <f t="shared" si="7"/>
        <v>1</v>
      </c>
      <c r="W59" s="25">
        <f t="shared" si="16"/>
        <v>12</v>
      </c>
      <c r="X59" s="25">
        <f t="shared" si="17"/>
        <v>12</v>
      </c>
      <c r="Y59" s="82">
        <f t="shared" si="18"/>
        <v>10</v>
      </c>
      <c r="Z59" s="82">
        <f t="shared" si="19"/>
        <v>10</v>
      </c>
      <c r="AA59" s="25">
        <f t="shared" si="20"/>
        <v>3</v>
      </c>
      <c r="AB59" s="82">
        <f t="shared" si="21"/>
        <v>3</v>
      </c>
      <c r="AC59" s="25">
        <f t="shared" si="22"/>
        <v>0.1</v>
      </c>
      <c r="AD59" s="82">
        <f t="shared" si="23"/>
        <v>0.1</v>
      </c>
    </row>
    <row r="60" spans="1:30" x14ac:dyDescent="0.25">
      <c r="A60" s="75"/>
      <c r="B60" s="70">
        <v>44</v>
      </c>
      <c r="C60" s="70">
        <v>13</v>
      </c>
      <c r="D60" s="70">
        <v>151</v>
      </c>
      <c r="E60" s="76">
        <f t="shared" si="8"/>
        <v>0.11538461538461539</v>
      </c>
      <c r="F60" s="77">
        <f t="shared" si="9"/>
        <v>1.153846153846154</v>
      </c>
      <c r="G60" s="78">
        <f t="shared" si="10"/>
        <v>10</v>
      </c>
      <c r="H60" s="78">
        <f t="shared" si="11"/>
        <v>3</v>
      </c>
      <c r="I60" s="78">
        <f t="shared" si="12"/>
        <v>0.1</v>
      </c>
      <c r="J60" s="79">
        <f t="shared" si="13"/>
        <v>0</v>
      </c>
      <c r="K60" s="77">
        <f t="shared" si="14"/>
        <v>174.23076923076925</v>
      </c>
      <c r="L60" s="80">
        <f t="shared" si="15"/>
        <v>0</v>
      </c>
      <c r="M60" s="78">
        <f t="shared" si="25"/>
        <v>58.076923076923087</v>
      </c>
      <c r="N60" s="79">
        <f t="shared" si="26"/>
        <v>1742.3076923076924</v>
      </c>
      <c r="O60" s="77">
        <f t="shared" si="27"/>
        <v>174.23076923076925</v>
      </c>
      <c r="P60" s="78">
        <f t="shared" si="28"/>
        <v>58.07692307692308</v>
      </c>
      <c r="Q60" s="79">
        <f t="shared" si="29"/>
        <v>1742.3076923076924</v>
      </c>
      <c r="R60" s="81"/>
      <c r="S60" s="22"/>
      <c r="T60" s="22"/>
      <c r="V60" s="25">
        <f t="shared" si="7"/>
        <v>0</v>
      </c>
      <c r="W60" s="25">
        <v>7</v>
      </c>
      <c r="X60" s="25">
        <f t="shared" si="17"/>
        <v>12</v>
      </c>
      <c r="Y60" s="82">
        <f t="shared" si="18"/>
        <v>10</v>
      </c>
      <c r="Z60" s="82">
        <f t="shared" si="19"/>
        <v>10</v>
      </c>
      <c r="AA60" s="25">
        <f t="shared" si="20"/>
        <v>3</v>
      </c>
      <c r="AB60" s="82">
        <f t="shared" si="21"/>
        <v>3</v>
      </c>
      <c r="AC60" s="25">
        <f t="shared" si="22"/>
        <v>0.1</v>
      </c>
      <c r="AD60" s="82">
        <f t="shared" si="23"/>
        <v>0.1</v>
      </c>
    </row>
    <row r="61" spans="1:30" x14ac:dyDescent="0.25">
      <c r="A61" s="75"/>
      <c r="B61" s="70">
        <v>45</v>
      </c>
      <c r="C61" s="70">
        <v>14</v>
      </c>
      <c r="D61" s="70">
        <v>105</v>
      </c>
      <c r="E61" s="76">
        <f t="shared" si="8"/>
        <v>7.6923076923076927E-2</v>
      </c>
      <c r="F61" s="77">
        <f t="shared" si="9"/>
        <v>0.76923076923076927</v>
      </c>
      <c r="G61" s="78">
        <f t="shared" si="10"/>
        <v>10</v>
      </c>
      <c r="H61" s="78">
        <f t="shared" si="11"/>
        <v>3</v>
      </c>
      <c r="I61" s="78">
        <f t="shared" si="12"/>
        <v>0.1</v>
      </c>
      <c r="J61" s="79">
        <f t="shared" si="13"/>
        <v>0</v>
      </c>
      <c r="K61" s="77">
        <f t="shared" si="14"/>
        <v>80.769230769230774</v>
      </c>
      <c r="L61" s="80">
        <f t="shared" si="15"/>
        <v>0</v>
      </c>
      <c r="M61" s="78">
        <f t="shared" si="25"/>
        <v>26.923076923076923</v>
      </c>
      <c r="N61" s="79">
        <f t="shared" si="26"/>
        <v>807.69230769230774</v>
      </c>
      <c r="O61" s="77">
        <f t="shared" si="27"/>
        <v>80.769230769230774</v>
      </c>
      <c r="P61" s="78">
        <f t="shared" si="28"/>
        <v>26.923076923076927</v>
      </c>
      <c r="Q61" s="79">
        <f t="shared" si="29"/>
        <v>807.69230769230774</v>
      </c>
      <c r="R61" s="81"/>
      <c r="S61" s="22"/>
      <c r="T61" s="22"/>
      <c r="V61" s="25">
        <f t="shared" si="7"/>
        <v>0</v>
      </c>
      <c r="W61" s="25">
        <f>IF(V61=0,W60,C61)</f>
        <v>7</v>
      </c>
      <c r="X61" s="25">
        <f t="shared" si="17"/>
        <v>12</v>
      </c>
      <c r="Y61" s="82">
        <f t="shared" si="18"/>
        <v>10</v>
      </c>
      <c r="Z61" s="82">
        <f t="shared" si="19"/>
        <v>10</v>
      </c>
      <c r="AA61" s="25">
        <f t="shared" si="20"/>
        <v>3</v>
      </c>
      <c r="AB61" s="82">
        <f t="shared" si="21"/>
        <v>3</v>
      </c>
      <c r="AC61" s="25">
        <f t="shared" si="22"/>
        <v>0.1</v>
      </c>
      <c r="AD61" s="82">
        <f t="shared" si="23"/>
        <v>0.1</v>
      </c>
    </row>
    <row r="62" spans="1:30" ht="18.75" thickBot="1" x14ac:dyDescent="0.3">
      <c r="A62" s="83"/>
      <c r="B62" s="84">
        <v>46</v>
      </c>
      <c r="C62" s="84">
        <v>15</v>
      </c>
      <c r="D62" s="84">
        <v>74</v>
      </c>
      <c r="E62" s="85">
        <f t="shared" si="8"/>
        <v>3.8461538461538464E-2</v>
      </c>
      <c r="F62" s="86">
        <f t="shared" si="9"/>
        <v>0.38461538461538464</v>
      </c>
      <c r="G62" s="87">
        <f t="shared" si="10"/>
        <v>10</v>
      </c>
      <c r="H62" s="87">
        <f t="shared" si="11"/>
        <v>3</v>
      </c>
      <c r="I62" s="87">
        <f t="shared" si="12"/>
        <v>0.1</v>
      </c>
      <c r="J62" s="88">
        <f t="shared" si="13"/>
        <v>0</v>
      </c>
      <c r="K62" s="86">
        <f t="shared" si="14"/>
        <v>28.461538461538463</v>
      </c>
      <c r="L62" s="89">
        <f t="shared" si="15"/>
        <v>0</v>
      </c>
      <c r="M62" s="87">
        <f t="shared" si="25"/>
        <v>9.4871794871794872</v>
      </c>
      <c r="N62" s="88">
        <f t="shared" si="26"/>
        <v>284.61538461538464</v>
      </c>
      <c r="O62" s="86">
        <f t="shared" si="27"/>
        <v>28.461538461538463</v>
      </c>
      <c r="P62" s="87">
        <f t="shared" si="28"/>
        <v>9.487179487179489</v>
      </c>
      <c r="Q62" s="88">
        <f t="shared" si="29"/>
        <v>284.61538461538464</v>
      </c>
      <c r="R62" s="81"/>
      <c r="S62" s="22"/>
      <c r="T62" s="22"/>
      <c r="V62" s="25">
        <f t="shared" si="7"/>
        <v>0</v>
      </c>
      <c r="W62" s="25">
        <f>IF(V62=0,W61,C62)</f>
        <v>7</v>
      </c>
      <c r="X62" s="25">
        <v>12</v>
      </c>
      <c r="Y62" s="82">
        <f t="shared" si="18"/>
        <v>10</v>
      </c>
      <c r="Z62" s="82">
        <f t="shared" si="19"/>
        <v>10</v>
      </c>
      <c r="AA62" s="25">
        <f t="shared" si="20"/>
        <v>3</v>
      </c>
      <c r="AB62" s="82">
        <f t="shared" si="21"/>
        <v>3</v>
      </c>
      <c r="AC62" s="25">
        <f t="shared" si="22"/>
        <v>0.1</v>
      </c>
      <c r="AD62" s="82">
        <f t="shared" si="23"/>
        <v>0.1</v>
      </c>
    </row>
    <row r="63" spans="1:30" x14ac:dyDescent="0.25">
      <c r="A63" s="46"/>
      <c r="B63" s="46"/>
      <c r="C63" s="46"/>
      <c r="D63" s="90">
        <f>SUM(D36:D62)</f>
        <v>4910</v>
      </c>
      <c r="E63" s="90"/>
      <c r="F63" s="90"/>
      <c r="G63" s="91"/>
      <c r="H63" s="92"/>
      <c r="I63" s="90"/>
      <c r="J63" s="91"/>
      <c r="K63" s="91">
        <f>SUM(K37:K62)</f>
        <v>20656.153846153848</v>
      </c>
      <c r="L63" s="91">
        <f>SUM(L37:L62)</f>
        <v>-27.307692307692299</v>
      </c>
      <c r="M63" s="91">
        <f>SUM(M37:M62)</f>
        <v>6860.3525641025644</v>
      </c>
      <c r="N63" s="91">
        <f>SUM(N37:N62)</f>
        <v>206834.06923076921</v>
      </c>
      <c r="O63" s="91">
        <f>SUM(O37:O62)</f>
        <v>20683.461538461543</v>
      </c>
      <c r="P63" s="91">
        <f t="shared" ref="P63:Q63" si="31">SUM(P37:P62)</f>
        <v>6894.4871794871797</v>
      </c>
      <c r="Q63" s="91">
        <f t="shared" si="31"/>
        <v>206834.61538461538</v>
      </c>
      <c r="R63" s="22"/>
      <c r="S63" s="22"/>
      <c r="T63" s="22"/>
    </row>
    <row r="64" spans="1:30" x14ac:dyDescent="0.25">
      <c r="A64" s="46"/>
      <c r="B64" s="46"/>
      <c r="C64" s="46"/>
      <c r="D64" s="46"/>
      <c r="E64" s="46"/>
      <c r="F64" s="46"/>
      <c r="G64" s="46"/>
      <c r="H64" s="46"/>
      <c r="I64" s="46"/>
      <c r="J64" s="46"/>
      <c r="K64" s="46"/>
      <c r="L64" s="46"/>
      <c r="M64" s="46"/>
      <c r="N64" s="46"/>
      <c r="O64" s="46"/>
      <c r="P64" s="46"/>
      <c r="Q64" s="22"/>
      <c r="R64" s="22"/>
      <c r="S64" s="22"/>
      <c r="T64" s="22"/>
    </row>
    <row r="65" spans="1:49" x14ac:dyDescent="0.25">
      <c r="A65" s="21"/>
      <c r="B65" s="21"/>
      <c r="C65" s="21"/>
      <c r="D65" s="21"/>
      <c r="E65" s="21"/>
      <c r="F65" s="21"/>
      <c r="G65" s="21"/>
      <c r="H65" s="21"/>
      <c r="I65" s="21"/>
      <c r="J65" s="21"/>
      <c r="K65" s="21"/>
      <c r="L65" s="46"/>
      <c r="M65" s="46"/>
      <c r="N65" s="46"/>
      <c r="O65" s="46"/>
      <c r="P65" s="46"/>
      <c r="Q65" s="22"/>
      <c r="R65" s="22"/>
      <c r="S65" s="22"/>
      <c r="T65" s="22"/>
    </row>
    <row r="66" spans="1:49" x14ac:dyDescent="0.25">
      <c r="A66" s="21"/>
      <c r="B66" s="21"/>
      <c r="C66" s="21"/>
      <c r="D66" s="21"/>
      <c r="E66" s="21"/>
      <c r="F66" s="21"/>
      <c r="G66" s="21"/>
      <c r="H66" s="21"/>
      <c r="I66" s="21"/>
      <c r="J66" s="21"/>
      <c r="K66" s="21"/>
      <c r="L66" s="46"/>
      <c r="M66" s="46"/>
      <c r="N66" s="46"/>
      <c r="O66" s="46"/>
      <c r="P66" s="46"/>
      <c r="Q66" s="22"/>
      <c r="R66" s="22"/>
      <c r="S66" s="22"/>
      <c r="T66" s="22"/>
    </row>
    <row r="67" spans="1:49" x14ac:dyDescent="0.25">
      <c r="A67" s="21"/>
      <c r="B67" s="21"/>
      <c r="C67" s="21"/>
      <c r="D67" s="21"/>
      <c r="E67" s="21"/>
      <c r="F67" s="21"/>
      <c r="G67" s="21"/>
      <c r="H67" s="21"/>
      <c r="I67" s="21"/>
      <c r="J67" s="21"/>
      <c r="K67" s="21"/>
      <c r="L67" s="46"/>
      <c r="M67" s="46"/>
      <c r="N67" s="46"/>
      <c r="O67" s="46"/>
      <c r="P67" s="46"/>
      <c r="Q67" s="22"/>
      <c r="R67" s="22"/>
      <c r="S67" s="22"/>
      <c r="T67" s="22"/>
    </row>
    <row r="68" spans="1:49" x14ac:dyDescent="0.25">
      <c r="A68" s="21"/>
      <c r="B68" s="21"/>
      <c r="C68" s="21"/>
      <c r="D68" s="21"/>
      <c r="E68" s="21"/>
      <c r="F68" s="21"/>
      <c r="G68" s="21"/>
      <c r="H68" s="21"/>
      <c r="I68" s="21"/>
      <c r="J68" s="21"/>
      <c r="K68" s="21"/>
      <c r="L68" s="46"/>
      <c r="M68" s="46"/>
      <c r="N68" s="46"/>
      <c r="O68" s="46"/>
      <c r="P68" s="46"/>
      <c r="Q68" s="22"/>
      <c r="R68" s="22"/>
      <c r="S68" s="22"/>
      <c r="T68" s="22"/>
    </row>
    <row r="69" spans="1:49" x14ac:dyDescent="0.25">
      <c r="A69" s="21"/>
      <c r="B69" s="21"/>
      <c r="C69" s="21"/>
      <c r="D69" s="21"/>
      <c r="E69" s="21"/>
      <c r="F69" s="21"/>
      <c r="G69" s="21"/>
      <c r="H69" s="21"/>
      <c r="I69" s="21"/>
      <c r="J69" s="21"/>
      <c r="K69" s="21"/>
      <c r="L69" s="46"/>
      <c r="M69" s="46"/>
      <c r="N69" s="46"/>
      <c r="O69" s="46"/>
      <c r="P69" s="46"/>
      <c r="Q69" s="22"/>
      <c r="R69" s="22"/>
      <c r="S69" s="22"/>
      <c r="T69" s="22"/>
    </row>
    <row r="70" spans="1:49" x14ac:dyDescent="0.25">
      <c r="A70" s="21"/>
      <c r="B70" s="21"/>
      <c r="C70" s="21"/>
      <c r="D70" s="21"/>
      <c r="E70" s="21"/>
      <c r="F70" s="21"/>
      <c r="G70" s="21"/>
      <c r="H70" s="21"/>
      <c r="I70" s="21"/>
      <c r="J70" s="21"/>
      <c r="K70" s="21"/>
      <c r="L70" s="46"/>
      <c r="M70" s="46"/>
      <c r="N70" s="46"/>
      <c r="O70" s="46"/>
      <c r="P70" s="46"/>
      <c r="Q70" s="22"/>
      <c r="R70" s="22"/>
      <c r="S70" s="22"/>
      <c r="T70" s="22"/>
    </row>
    <row r="71" spans="1:49" s="27" customFormat="1" x14ac:dyDescent="0.25">
      <c r="A71" s="21"/>
      <c r="B71" s="21"/>
      <c r="C71" s="21"/>
      <c r="D71" s="93"/>
      <c r="E71" s="21"/>
      <c r="F71" s="21"/>
      <c r="G71" s="21"/>
      <c r="H71" s="21"/>
      <c r="I71" s="21"/>
      <c r="J71" s="21"/>
      <c r="K71" s="21"/>
      <c r="L71" s="46"/>
      <c r="M71" s="46"/>
      <c r="N71" s="46"/>
      <c r="O71" s="46"/>
      <c r="P71" s="46"/>
      <c r="Q71" s="22"/>
      <c r="R71" s="22"/>
      <c r="S71" s="21"/>
      <c r="T71" s="21"/>
      <c r="U71" s="146"/>
      <c r="V71" s="94"/>
      <c r="W71" s="94"/>
      <c r="X71" s="94"/>
      <c r="Y71" s="94"/>
      <c r="Z71" s="94"/>
      <c r="AA71" s="94"/>
      <c r="AB71" s="94"/>
      <c r="AC71" s="94"/>
      <c r="AD71" s="94"/>
      <c r="AE71" s="146"/>
      <c r="AF71" s="146"/>
      <c r="AG71" s="146"/>
      <c r="AH71" s="146"/>
      <c r="AI71" s="146"/>
      <c r="AJ71" s="146"/>
      <c r="AK71" s="146"/>
      <c r="AL71" s="139"/>
      <c r="AM71" s="146"/>
      <c r="AN71" s="146"/>
      <c r="AO71" s="146"/>
      <c r="AP71" s="146"/>
      <c r="AQ71" s="146"/>
      <c r="AR71" s="139"/>
      <c r="AS71" s="139"/>
      <c r="AT71" s="139"/>
      <c r="AU71" s="139"/>
      <c r="AV71" s="139"/>
      <c r="AW71" s="139"/>
    </row>
    <row r="72" spans="1:49" s="27" customFormat="1" x14ac:dyDescent="0.25">
      <c r="D72" s="95"/>
      <c r="L72" s="38"/>
      <c r="M72" s="38"/>
      <c r="N72" s="38"/>
      <c r="O72" s="38"/>
      <c r="P72" s="38"/>
      <c r="Q72" s="24"/>
      <c r="R72" s="22"/>
      <c r="U72" s="146"/>
      <c r="V72" s="94"/>
      <c r="W72" s="94"/>
      <c r="X72" s="94"/>
      <c r="Y72" s="94"/>
      <c r="Z72" s="94"/>
      <c r="AA72" s="94"/>
      <c r="AB72" s="94"/>
      <c r="AC72" s="94"/>
      <c r="AD72" s="94"/>
      <c r="AE72" s="146"/>
      <c r="AF72" s="146"/>
      <c r="AG72" s="146"/>
      <c r="AH72" s="146"/>
      <c r="AI72" s="146"/>
      <c r="AJ72" s="146"/>
      <c r="AK72" s="146"/>
      <c r="AL72" s="139"/>
      <c r="AM72" s="146"/>
      <c r="AN72" s="146"/>
      <c r="AO72" s="146"/>
      <c r="AP72" s="146"/>
      <c r="AQ72" s="146"/>
      <c r="AR72" s="139"/>
      <c r="AS72" s="139"/>
      <c r="AT72" s="139"/>
      <c r="AU72" s="139"/>
      <c r="AV72" s="139"/>
      <c r="AW72" s="139"/>
    </row>
    <row r="73" spans="1:49" s="27" customFormat="1" x14ac:dyDescent="0.25">
      <c r="D73" s="95"/>
      <c r="L73" s="38"/>
      <c r="M73" s="38"/>
      <c r="N73" s="38"/>
      <c r="O73" s="38"/>
      <c r="P73" s="38"/>
      <c r="Q73" s="24"/>
      <c r="R73" s="24"/>
      <c r="U73" s="146"/>
      <c r="V73" s="94"/>
      <c r="W73" s="94"/>
      <c r="X73" s="94"/>
      <c r="Y73" s="94"/>
      <c r="Z73" s="94"/>
      <c r="AA73" s="94"/>
      <c r="AB73" s="94"/>
      <c r="AC73" s="94"/>
      <c r="AD73" s="94"/>
      <c r="AE73" s="146"/>
      <c r="AF73" s="146"/>
      <c r="AG73" s="146"/>
      <c r="AH73" s="146"/>
      <c r="AI73" s="146"/>
      <c r="AJ73" s="146"/>
      <c r="AK73" s="146"/>
      <c r="AL73" s="139"/>
      <c r="AM73" s="146"/>
      <c r="AN73" s="146"/>
      <c r="AO73" s="146"/>
      <c r="AP73" s="146"/>
      <c r="AQ73" s="146"/>
      <c r="AR73" s="139"/>
      <c r="AS73" s="139"/>
      <c r="AT73" s="139"/>
      <c r="AU73" s="139"/>
      <c r="AV73" s="139"/>
      <c r="AW73" s="139"/>
    </row>
    <row r="74" spans="1:49" s="27" customFormat="1" x14ac:dyDescent="0.25">
      <c r="D74" s="95"/>
      <c r="L74" s="38"/>
      <c r="M74" s="38"/>
      <c r="N74" s="38"/>
      <c r="O74" s="38"/>
      <c r="P74" s="38"/>
      <c r="Q74" s="24"/>
      <c r="R74" s="24"/>
      <c r="U74" s="146"/>
      <c r="V74" s="94"/>
      <c r="W74" s="94"/>
      <c r="X74" s="94"/>
      <c r="Y74" s="94"/>
      <c r="Z74" s="94"/>
      <c r="AA74" s="94"/>
      <c r="AB74" s="94"/>
      <c r="AC74" s="94"/>
      <c r="AD74" s="94"/>
      <c r="AE74" s="146"/>
      <c r="AF74" s="146"/>
      <c r="AG74" s="146"/>
      <c r="AH74" s="146"/>
      <c r="AI74" s="146"/>
      <c r="AJ74" s="146"/>
      <c r="AK74" s="146"/>
      <c r="AL74" s="139"/>
      <c r="AM74" s="146"/>
      <c r="AN74" s="146"/>
      <c r="AO74" s="146"/>
      <c r="AP74" s="146"/>
      <c r="AQ74" s="146"/>
      <c r="AR74" s="139"/>
      <c r="AS74" s="139"/>
      <c r="AT74" s="139"/>
      <c r="AU74" s="139"/>
      <c r="AV74" s="139"/>
      <c r="AW74" s="139"/>
    </row>
  </sheetData>
  <sheetProtection algorithmName="SHA-512" hashValue="boQ9+3NMBetAZO3xw7vpiXg4kq7ijrRSiN7vT0OBXywyBhBeyEIAW+4K5AwCGqjkixDZsy+/Duwaeyc3gzvUYw==" saltValue="EiFcNjlSKjCcgQWPTE8URw==" spinCount="100000" sheet="1" objects="1" scenarios="1"/>
  <mergeCells count="14">
    <mergeCell ref="H2:K2"/>
    <mergeCell ref="H3:K3"/>
    <mergeCell ref="M2:P2"/>
    <mergeCell ref="M3:O3"/>
    <mergeCell ref="K17:R17"/>
    <mergeCell ref="A15:H15"/>
    <mergeCell ref="A3:B3"/>
    <mergeCell ref="D3:F3"/>
    <mergeCell ref="A33:Q33"/>
    <mergeCell ref="A34:A35"/>
    <mergeCell ref="G34:I34"/>
    <mergeCell ref="K25:L25"/>
    <mergeCell ref="A25:I25"/>
    <mergeCell ref="F26:I26"/>
  </mergeCells>
  <conditionalFormatting sqref="A37:Q62">
    <cfRule type="expression" dxfId="5" priority="20">
      <formula>$V37=1</formula>
    </cfRule>
  </conditionalFormatting>
  <dataValidations count="7">
    <dataValidation type="list" allowBlank="1" showInputMessage="1" showErrorMessage="1" sqref="B6">
      <formula1>"outdoor air-to-water, water-to-water,brine-to-water,ground water-to-water,ground/brine-to-water, packages including solar"</formula1>
    </dataValidation>
    <dataValidation type="list" allowBlank="1" showInputMessage="1" showErrorMessage="1" sqref="B7">
      <formula1>"heating only,reversible"</formula1>
    </dataValidation>
    <dataValidation type="list" allowBlank="1" showInputMessage="1" showErrorMessage="1" sqref="B8">
      <formula1>"35°C,55°C"</formula1>
    </dataValidation>
    <dataValidation type="list" allowBlank="1" showInputMessage="1" showErrorMessage="1" sqref="B9:B11">
      <formula1>"fixed,variable"</formula1>
    </dataValidation>
    <dataValidation type="list" allowBlank="1" showInputMessage="1" showErrorMessage="1" sqref="B12">
      <formula1>"GCV, NCV"</formula1>
    </dataValidation>
    <dataValidation type="whole" operator="lessThanOrEqual" allowBlank="1" showInputMessage="1" showErrorMessage="1" errorTitle="TOL too high" error="TOL higher than bivalent temperature" sqref="E8">
      <formula1>E7</formula1>
    </dataValidation>
    <dataValidation type="custom" allowBlank="1" showInputMessage="1" showErrorMessage="1" errorTitle="Bivalent temperature too high" error="Bivalent tempertaure higher than bivalent upper limit" sqref="E7">
      <formula1>E7&lt;=2</formula1>
    </dataValidation>
  </dataValidations>
  <pageMargins left="0.7" right="0.7" top="0.75" bottom="0.75" header="0.3" footer="0.3"/>
  <pageSetup paperSize="9" orientation="portrait" r:id="rId1"/>
  <ignoredErrors>
    <ignoredError sqref="E63:Q63 D29:D31 K26:R26 K20:R23 C17 C18 C19 C20 E37 E38 E39 E40 E41 E42 E43 E44 E45 E46 E47 E48 E49 E50 E51 E52 E53 E54 E55 E56 E57 E58 E59 E60 E61 E62 K19:L19 I29:I31 D17:D22 F38:M62 N19:O19 F37:L37 O38:Q62 N27:R27 O31:R31 O29:R29 O30:R30 L25:R25 N28:R2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BC86"/>
  <sheetViews>
    <sheetView zoomScale="85" zoomScaleNormal="85" workbookViewId="0"/>
  </sheetViews>
  <sheetFormatPr baseColWidth="10" defaultColWidth="8.85546875" defaultRowHeight="18" x14ac:dyDescent="0.25"/>
  <cols>
    <col min="1" max="1" width="29.42578125" style="27" customWidth="1"/>
    <col min="2" max="2" width="25.42578125" style="27" customWidth="1"/>
    <col min="3" max="3" width="16.42578125" style="27" customWidth="1"/>
    <col min="4" max="4" width="19.7109375" style="27" customWidth="1"/>
    <col min="5" max="5" width="17.42578125" style="27" customWidth="1"/>
    <col min="6" max="6" width="19.85546875" style="27" customWidth="1"/>
    <col min="7" max="7" width="12.7109375" style="27" customWidth="1"/>
    <col min="8" max="8" width="14" style="27" customWidth="1"/>
    <col min="9" max="9" width="13.140625" style="27" customWidth="1"/>
    <col min="10" max="10" width="23.7109375" style="27" bestFit="1" customWidth="1"/>
    <col min="11" max="11" width="15.42578125" style="27" customWidth="1"/>
    <col min="12" max="12" width="14" style="38" customWidth="1"/>
    <col min="13" max="13" width="18.28515625" style="38" customWidth="1"/>
    <col min="14" max="15" width="20.140625" style="38" customWidth="1"/>
    <col min="16" max="16" width="21.85546875" style="38" bestFit="1" customWidth="1"/>
    <col min="17" max="17" width="21.85546875" style="24" bestFit="1" customWidth="1"/>
    <col min="18" max="19" width="11" style="24" bestFit="1" customWidth="1"/>
    <col min="20" max="20" width="8.85546875" style="24"/>
    <col min="21" max="21" width="8.85546875" style="144"/>
    <col min="22" max="30" width="8.85546875" style="25"/>
    <col min="31" max="45" width="8.85546875" style="144"/>
    <col min="46" max="55" width="8.85546875" style="138"/>
    <col min="56" max="16384" width="8.85546875" style="24"/>
  </cols>
  <sheetData>
    <row r="1" spans="1:29" ht="18.75" x14ac:dyDescent="0.25">
      <c r="A1" s="20" t="s">
        <v>135</v>
      </c>
      <c r="B1" s="21"/>
      <c r="C1" s="21"/>
      <c r="D1" s="21"/>
      <c r="E1" s="21"/>
      <c r="F1" s="21"/>
      <c r="G1" s="22"/>
      <c r="H1" s="23"/>
      <c r="I1" s="21"/>
      <c r="J1" s="21"/>
      <c r="K1" s="21"/>
      <c r="L1" s="21"/>
      <c r="M1" s="21"/>
      <c r="N1" s="21"/>
      <c r="O1" s="21"/>
      <c r="P1" s="21"/>
      <c r="Q1" s="22"/>
      <c r="R1" s="22"/>
      <c r="S1" s="22"/>
      <c r="T1" s="22"/>
    </row>
    <row r="2" spans="1:29" x14ac:dyDescent="0.25">
      <c r="A2" s="26"/>
      <c r="B2" s="21"/>
      <c r="C2" s="21"/>
      <c r="D2" s="21"/>
      <c r="E2" s="21"/>
      <c r="F2" s="21"/>
      <c r="G2" s="22"/>
      <c r="H2" s="184" t="s">
        <v>82</v>
      </c>
      <c r="I2" s="184"/>
      <c r="J2" s="184"/>
      <c r="K2" s="184"/>
      <c r="L2" s="22"/>
      <c r="M2" s="184"/>
      <c r="N2" s="184"/>
      <c r="O2" s="184"/>
      <c r="P2" s="184"/>
      <c r="Q2" s="22"/>
      <c r="R2" s="22"/>
      <c r="S2" s="22"/>
      <c r="T2" s="22"/>
    </row>
    <row r="3" spans="1:29" ht="18" customHeight="1" x14ac:dyDescent="0.25">
      <c r="A3" s="190" t="s">
        <v>14</v>
      </c>
      <c r="B3" s="192"/>
      <c r="C3" s="21"/>
      <c r="D3" s="190" t="s">
        <v>15</v>
      </c>
      <c r="E3" s="191"/>
      <c r="F3" s="192"/>
      <c r="H3" s="194" t="s">
        <v>85</v>
      </c>
      <c r="I3" s="194"/>
      <c r="J3" s="194"/>
      <c r="K3" s="194"/>
      <c r="L3" s="21"/>
      <c r="M3" s="194" t="s">
        <v>99</v>
      </c>
      <c r="N3" s="194"/>
      <c r="O3" s="194"/>
      <c r="P3" s="28"/>
      <c r="Q3" s="22"/>
      <c r="R3" s="22"/>
      <c r="S3" s="22"/>
      <c r="T3" s="22"/>
    </row>
    <row r="4" spans="1:29" x14ac:dyDescent="0.25">
      <c r="A4" s="29" t="s">
        <v>16</v>
      </c>
      <c r="B4" s="164"/>
      <c r="C4" s="21"/>
      <c r="D4" s="30" t="s">
        <v>17</v>
      </c>
      <c r="E4" s="31" t="s">
        <v>18</v>
      </c>
      <c r="F4" s="32"/>
      <c r="G4" s="22"/>
      <c r="H4" s="29"/>
      <c r="I4" s="29"/>
      <c r="J4" s="29"/>
      <c r="K4" s="33" t="s">
        <v>81</v>
      </c>
      <c r="L4" s="22"/>
      <c r="M4" s="29"/>
      <c r="N4" s="29" t="s">
        <v>100</v>
      </c>
      <c r="O4" s="33" t="s">
        <v>81</v>
      </c>
      <c r="P4" s="22"/>
      <c r="Q4" s="22"/>
      <c r="R4" s="22"/>
      <c r="S4" s="22"/>
      <c r="T4" s="22"/>
    </row>
    <row r="5" spans="1:29" ht="19.5" x14ac:dyDescent="0.25">
      <c r="A5" s="29" t="s">
        <v>14</v>
      </c>
      <c r="B5" s="164"/>
      <c r="C5" s="21"/>
      <c r="D5" s="30" t="s">
        <v>19</v>
      </c>
      <c r="E5" s="34">
        <v>-22</v>
      </c>
      <c r="F5" s="32" t="s">
        <v>20</v>
      </c>
      <c r="G5" s="22"/>
      <c r="H5" s="35" t="s">
        <v>70</v>
      </c>
      <c r="I5" s="36">
        <f>0.85*I6+0.15*I7</f>
        <v>0</v>
      </c>
      <c r="J5" s="32" t="s">
        <v>34</v>
      </c>
      <c r="K5" s="32">
        <v>0.8</v>
      </c>
      <c r="L5" s="22"/>
      <c r="M5" s="35" t="s">
        <v>102</v>
      </c>
      <c r="N5" s="17"/>
      <c r="O5" s="32">
        <v>1</v>
      </c>
      <c r="P5" s="22"/>
      <c r="Q5" s="22"/>
      <c r="R5" s="22"/>
      <c r="S5" s="22"/>
      <c r="T5" s="22"/>
    </row>
    <row r="6" spans="1:29" ht="19.5" x14ac:dyDescent="0.25">
      <c r="A6" s="37" t="s">
        <v>21</v>
      </c>
      <c r="B6" s="3" t="s">
        <v>9</v>
      </c>
      <c r="C6" s="21"/>
      <c r="D6" s="32" t="s">
        <v>22</v>
      </c>
      <c r="E6" s="17"/>
      <c r="F6" s="32" t="s">
        <v>23</v>
      </c>
      <c r="G6" s="22"/>
      <c r="H6" s="35" t="s">
        <v>79</v>
      </c>
      <c r="I6" s="17"/>
      <c r="J6" s="32" t="s">
        <v>34</v>
      </c>
      <c r="K6" s="32"/>
      <c r="L6" s="22"/>
      <c r="M6" s="35" t="s">
        <v>101</v>
      </c>
      <c r="N6" s="17"/>
      <c r="O6" s="32">
        <v>2.5</v>
      </c>
      <c r="P6" s="22"/>
      <c r="Q6" s="22"/>
      <c r="R6" s="22"/>
      <c r="S6" s="22"/>
      <c r="T6" s="22"/>
      <c r="V6" s="25" t="s">
        <v>136</v>
      </c>
      <c r="W6" s="25">
        <f>IF(OR(E6&lt;0,E6="",NOT(ISNUMBER(E6))),1,"")</f>
        <v>1</v>
      </c>
      <c r="AA6" s="25" t="str">
        <f>IF(E6="","Pdesign Missing","")</f>
        <v>Pdesign Missing</v>
      </c>
      <c r="AB6" s="25" t="str">
        <f>IF(E6&lt;0,"Pdesign Negative","")</f>
        <v/>
      </c>
      <c r="AC6" s="25" t="str">
        <f>IF(NOT(ISNUMBER(E6)),"Pdesign is not a number","")</f>
        <v>Pdesign is not a number</v>
      </c>
    </row>
    <row r="7" spans="1:29" ht="19.5" x14ac:dyDescent="0.25">
      <c r="A7" s="37" t="s">
        <v>24</v>
      </c>
      <c r="B7" s="3" t="s">
        <v>13</v>
      </c>
      <c r="C7" s="21"/>
      <c r="D7" s="32" t="s">
        <v>25</v>
      </c>
      <c r="E7" s="8"/>
      <c r="F7" s="30" t="s">
        <v>20</v>
      </c>
      <c r="G7" s="22"/>
      <c r="H7" s="35" t="s">
        <v>80</v>
      </c>
      <c r="I7" s="17"/>
      <c r="J7" s="32" t="s">
        <v>34</v>
      </c>
      <c r="K7" s="32"/>
      <c r="L7" s="22"/>
      <c r="N7" s="22"/>
      <c r="O7" s="22"/>
      <c r="P7" s="22"/>
      <c r="Q7" s="22"/>
      <c r="R7" s="22"/>
      <c r="S7" s="22"/>
      <c r="T7" s="22"/>
      <c r="V7" s="25" t="s">
        <v>137</v>
      </c>
      <c r="W7" s="25">
        <f>IF(E7="",1,"")</f>
        <v>1</v>
      </c>
      <c r="X7" s="25" t="str">
        <f>IF(E7&gt;2,1,"")</f>
        <v/>
      </c>
      <c r="Y7" s="25" t="str">
        <f>IF(E7&lt;E5,1,"")</f>
        <v/>
      </c>
      <c r="AA7" s="25" t="str">
        <f>IF(E7="","Tbiv Missing","")</f>
        <v>Tbiv Missing</v>
      </c>
      <c r="AB7" s="25" t="str">
        <f>IF(E7&gt;2,"Tbiv &gt; -7°C","")</f>
        <v/>
      </c>
      <c r="AC7" s="25" t="str">
        <f>IF(E7&lt;E5,"Tbiv &lt; Tdesign","")</f>
        <v/>
      </c>
    </row>
    <row r="8" spans="1:29" ht="19.5" x14ac:dyDescent="0.3">
      <c r="A8" s="29" t="s">
        <v>26</v>
      </c>
      <c r="B8" s="162" t="s">
        <v>11</v>
      </c>
      <c r="C8" s="21"/>
      <c r="D8" s="32" t="s">
        <v>27</v>
      </c>
      <c r="E8" s="8"/>
      <c r="F8" s="32" t="s">
        <v>20</v>
      </c>
      <c r="G8" s="22"/>
      <c r="H8" s="35" t="s">
        <v>71</v>
      </c>
      <c r="I8" s="4"/>
      <c r="J8" s="30" t="s">
        <v>75</v>
      </c>
      <c r="K8" s="32">
        <v>0.02</v>
      </c>
      <c r="L8" s="22"/>
      <c r="M8" s="39" t="s">
        <v>141</v>
      </c>
      <c r="N8" s="22"/>
      <c r="O8" s="22"/>
      <c r="P8" s="22"/>
      <c r="Q8" s="22"/>
      <c r="R8" s="22"/>
      <c r="S8" s="22"/>
      <c r="T8" s="22"/>
      <c r="V8" s="25" t="s">
        <v>138</v>
      </c>
      <c r="W8" s="25">
        <f>IF(E8="",1,"")</f>
        <v>1</v>
      </c>
      <c r="X8" s="25">
        <f>IF(E8&gt;-7,1,"")</f>
        <v>1</v>
      </c>
      <c r="Y8" s="25" t="str">
        <f>IF(E7&lt;E8,1,"")</f>
        <v/>
      </c>
      <c r="AA8" s="25" t="str">
        <f>IF(E8="","TOL Missing","")</f>
        <v>TOL Missing</v>
      </c>
      <c r="AB8" s="25" t="str">
        <f>IF(E8="","",IF(E8&gt;-7,"TOL &gt; -7°C",""))</f>
        <v/>
      </c>
      <c r="AC8" s="25" t="str">
        <f>IF(E7&lt;E8," TOL&gt;Tbiv ","")</f>
        <v/>
      </c>
    </row>
    <row r="9" spans="1:29" x14ac:dyDescent="0.25">
      <c r="A9" s="29" t="s">
        <v>29</v>
      </c>
      <c r="B9" s="162" t="s">
        <v>8</v>
      </c>
      <c r="C9" s="21"/>
      <c r="D9" s="30" t="s">
        <v>106</v>
      </c>
      <c r="E9" s="40">
        <v>2465</v>
      </c>
      <c r="F9" s="30" t="s">
        <v>30</v>
      </c>
      <c r="G9" s="22"/>
      <c r="H9" s="22"/>
      <c r="I9" s="22"/>
      <c r="J9" s="22"/>
      <c r="K9" s="22"/>
      <c r="L9" s="22"/>
      <c r="M9" s="96" t="str">
        <f>AA6&amp;" "&amp;AB6&amp;" "&amp;AC6</f>
        <v>Pdesign Missing  Pdesign is not a number</v>
      </c>
      <c r="N9" s="97"/>
      <c r="O9" s="97"/>
      <c r="P9" s="97"/>
      <c r="Q9" s="22"/>
      <c r="R9" s="22"/>
      <c r="S9" s="22"/>
      <c r="T9" s="22"/>
    </row>
    <row r="10" spans="1:29" x14ac:dyDescent="0.25">
      <c r="A10" s="29" t="s">
        <v>31</v>
      </c>
      <c r="B10" s="162" t="s">
        <v>8</v>
      </c>
      <c r="C10" s="21"/>
      <c r="D10" s="32" t="s">
        <v>104</v>
      </c>
      <c r="E10" s="43" t="str">
        <f>IF($W$33&gt;0,"",$E$9*$E$6)</f>
        <v/>
      </c>
      <c r="F10" s="32" t="s">
        <v>32</v>
      </c>
      <c r="G10" s="22"/>
      <c r="H10" s="22"/>
      <c r="I10" s="22"/>
      <c r="J10" s="22"/>
      <c r="K10" s="22"/>
      <c r="L10" s="22"/>
      <c r="M10" s="96" t="str">
        <f t="shared" ref="M10:O11" si="0">AA7</f>
        <v>Tbiv Missing</v>
      </c>
      <c r="N10" s="96" t="str">
        <f t="shared" si="0"/>
        <v/>
      </c>
      <c r="O10" s="96" t="str">
        <f t="shared" si="0"/>
        <v/>
      </c>
      <c r="P10" s="97"/>
      <c r="Q10" s="22"/>
      <c r="R10" s="22"/>
      <c r="S10" s="22"/>
      <c r="T10" s="22"/>
    </row>
    <row r="11" spans="1:29" ht="19.5" x14ac:dyDescent="0.25">
      <c r="A11" s="29" t="s">
        <v>33</v>
      </c>
      <c r="B11" s="162" t="s">
        <v>8</v>
      </c>
      <c r="C11" s="21"/>
      <c r="D11" s="21"/>
      <c r="E11" s="21"/>
      <c r="F11" s="21"/>
      <c r="G11" s="21"/>
      <c r="H11" s="21"/>
      <c r="I11" s="22"/>
      <c r="J11" s="22"/>
      <c r="K11" s="22"/>
      <c r="L11" s="22"/>
      <c r="M11" s="96" t="str">
        <f t="shared" si="0"/>
        <v>TOL Missing</v>
      </c>
      <c r="N11" s="96" t="str">
        <f t="shared" si="0"/>
        <v/>
      </c>
      <c r="O11" s="96" t="str">
        <f t="shared" si="0"/>
        <v/>
      </c>
      <c r="P11" s="97"/>
      <c r="Q11" s="22"/>
      <c r="R11" s="22"/>
      <c r="S11" s="22"/>
      <c r="T11" s="22"/>
      <c r="V11" s="44" t="s">
        <v>142</v>
      </c>
      <c r="W11" s="25" t="str">
        <f>IF(OR(I6&lt;0,AND(I6&lt;&gt;"",NOT(ISNUMBER(I6)))),1,"")</f>
        <v/>
      </c>
      <c r="AA11" s="25" t="str">
        <f>IF(W11=1,"Incorrect "&amp;V11,"")</f>
        <v/>
      </c>
    </row>
    <row r="12" spans="1:29" ht="19.5" x14ac:dyDescent="0.25">
      <c r="A12" s="29" t="s">
        <v>66</v>
      </c>
      <c r="B12" s="162" t="s">
        <v>67</v>
      </c>
      <c r="C12" s="21"/>
      <c r="E12" s="21"/>
      <c r="F12" s="21"/>
      <c r="G12" s="21"/>
      <c r="H12" s="22"/>
      <c r="I12" s="22"/>
      <c r="J12" s="22"/>
      <c r="K12" s="22"/>
      <c r="L12" s="22"/>
      <c r="M12" s="96" t="str">
        <f>AA17</f>
        <v>Complete performance data with correct values</v>
      </c>
      <c r="N12" s="97"/>
      <c r="O12" s="97"/>
      <c r="P12" s="97"/>
      <c r="Q12" s="22"/>
      <c r="R12" s="22"/>
      <c r="S12" s="22"/>
      <c r="T12" s="22"/>
      <c r="V12" s="44" t="s">
        <v>143</v>
      </c>
      <c r="W12" s="25" t="str">
        <f>IF(OR(I7&lt;0,AND(I7&lt;&gt;"",NOT(ISNUMBER(I7)))),1,"")</f>
        <v/>
      </c>
      <c r="AA12" s="25" t="str">
        <f t="shared" ref="AA12:AA15" si="1">IF(W12=1,"Incorrect "&amp;V12,"")</f>
        <v/>
      </c>
    </row>
    <row r="13" spans="1:29" ht="19.5" x14ac:dyDescent="0.25">
      <c r="A13" s="21"/>
      <c r="B13" s="21"/>
      <c r="C13" s="21"/>
      <c r="D13" s="21"/>
      <c r="E13" s="21"/>
      <c r="F13" s="21"/>
      <c r="G13" s="21"/>
      <c r="H13" s="22"/>
      <c r="I13" s="22"/>
      <c r="J13" s="22"/>
      <c r="K13" s="22"/>
      <c r="L13" s="22"/>
      <c r="M13" s="98" t="str">
        <f>AA28&amp;AB28</f>
        <v/>
      </c>
      <c r="N13" s="97"/>
      <c r="O13" s="97"/>
      <c r="P13" s="97"/>
      <c r="Q13" s="22"/>
      <c r="R13" s="22"/>
      <c r="S13" s="22"/>
      <c r="T13" s="22"/>
      <c r="V13" s="44" t="s">
        <v>144</v>
      </c>
      <c r="W13" s="25" t="str">
        <f>IF(OR(I8&lt;0,AND(I8&lt;&gt;"",NOT(ISNUMBER(I8)))),1,"")</f>
        <v/>
      </c>
      <c r="AA13" s="25" t="str">
        <f t="shared" si="1"/>
        <v/>
      </c>
    </row>
    <row r="14" spans="1:29" ht="19.5" x14ac:dyDescent="0.25">
      <c r="A14" s="21"/>
      <c r="B14" s="21"/>
      <c r="C14" s="21"/>
      <c r="D14" s="21"/>
      <c r="E14" s="21"/>
      <c r="F14" s="21"/>
      <c r="G14" s="21"/>
      <c r="H14" s="21"/>
      <c r="I14" s="22"/>
      <c r="J14" s="22"/>
      <c r="K14" s="22"/>
      <c r="L14" s="22"/>
      <c r="M14" s="96" t="str">
        <f>AA11&amp;"   "&amp;AA12&amp;"   "&amp;AA13</f>
        <v xml:space="preserve">      </v>
      </c>
      <c r="N14" s="96"/>
      <c r="O14" s="96"/>
      <c r="P14" s="97"/>
      <c r="Q14" s="22"/>
      <c r="R14" s="22"/>
      <c r="S14" s="22"/>
      <c r="T14" s="22"/>
      <c r="V14" s="44" t="s">
        <v>145</v>
      </c>
      <c r="W14" s="25" t="str">
        <f>IF(OR(N5&lt;0,AND(N5&lt;&gt;"",NOT(ISNUMBER(N5)))),1,"")</f>
        <v/>
      </c>
      <c r="AA14" s="25" t="str">
        <f t="shared" si="1"/>
        <v/>
      </c>
    </row>
    <row r="15" spans="1:29" ht="19.5" x14ac:dyDescent="0.25">
      <c r="A15" s="190" t="s">
        <v>35</v>
      </c>
      <c r="B15" s="191"/>
      <c r="C15" s="191"/>
      <c r="D15" s="191"/>
      <c r="E15" s="191"/>
      <c r="F15" s="191"/>
      <c r="G15" s="191"/>
      <c r="H15" s="192"/>
      <c r="I15" s="22"/>
      <c r="J15" s="22"/>
      <c r="K15" s="21"/>
      <c r="L15" s="22"/>
      <c r="M15" s="96" t="str">
        <f>AA14&amp;"  "&amp;AA15</f>
        <v xml:space="preserve">  </v>
      </c>
      <c r="N15" s="96"/>
      <c r="O15" s="97"/>
      <c r="P15" s="97"/>
      <c r="Q15" s="22"/>
      <c r="R15" s="22"/>
      <c r="S15" s="22"/>
      <c r="T15" s="22"/>
      <c r="V15" s="44" t="s">
        <v>146</v>
      </c>
      <c r="W15" s="25" t="str">
        <f>IF(OR(N6&lt;0,AND(N6&lt;&gt;"",NOT(ISNUMBER(N6)))),1,"")</f>
        <v/>
      </c>
      <c r="AA15" s="25" t="str">
        <f t="shared" si="1"/>
        <v/>
      </c>
    </row>
    <row r="16" spans="1:29" ht="72" x14ac:dyDescent="0.25">
      <c r="A16" s="32" t="s">
        <v>36</v>
      </c>
      <c r="B16" s="32" t="s">
        <v>37</v>
      </c>
      <c r="C16" s="32" t="s">
        <v>38</v>
      </c>
      <c r="D16" s="32" t="s">
        <v>39</v>
      </c>
      <c r="E16" s="157" t="s">
        <v>40</v>
      </c>
      <c r="F16" s="157" t="s">
        <v>41</v>
      </c>
      <c r="G16" s="157" t="s">
        <v>68</v>
      </c>
      <c r="H16" s="157" t="s">
        <v>69</v>
      </c>
      <c r="I16" s="22"/>
      <c r="J16" s="22"/>
      <c r="K16" s="21"/>
      <c r="L16" s="22"/>
      <c r="M16" s="21"/>
      <c r="N16" s="22"/>
      <c r="O16" s="22"/>
      <c r="P16" s="21"/>
      <c r="Q16" s="22"/>
      <c r="R16" s="22"/>
      <c r="S16" s="22"/>
      <c r="T16" s="22"/>
    </row>
    <row r="17" spans="1:28" x14ac:dyDescent="0.25">
      <c r="A17" s="47" t="s">
        <v>115</v>
      </c>
      <c r="B17" s="47">
        <v>-15</v>
      </c>
      <c r="C17" s="48">
        <f>(B17-16)/($E$5-16)</f>
        <v>0.81578947368421051</v>
      </c>
      <c r="D17" s="49" t="str">
        <f t="shared" ref="D17:D23" si="2">IF($W$33&gt;0,"",$E$6*C17)</f>
        <v/>
      </c>
      <c r="E17" s="162"/>
      <c r="F17" s="7"/>
      <c r="G17" s="7"/>
      <c r="H17" s="7"/>
      <c r="I17" s="22"/>
      <c r="J17" s="22"/>
      <c r="K17" s="193" t="s">
        <v>28</v>
      </c>
      <c r="L17" s="193"/>
      <c r="M17" s="193"/>
      <c r="N17" s="193"/>
      <c r="O17" s="193"/>
      <c r="P17" s="193"/>
      <c r="Q17" s="193"/>
      <c r="R17" s="193"/>
      <c r="S17" s="22"/>
      <c r="T17" s="22"/>
      <c r="V17" s="25" t="s">
        <v>139</v>
      </c>
      <c r="W17" s="25">
        <f t="shared" ref="W17:Y23" si="3">IF(AND(F17&gt;0,ISNUMBER(F17)),"",1)</f>
        <v>1</v>
      </c>
      <c r="X17" s="25">
        <f t="shared" si="3"/>
        <v>1</v>
      </c>
      <c r="Y17" s="25">
        <f t="shared" si="3"/>
        <v>1</v>
      </c>
      <c r="AA17" s="25" t="str">
        <f>IF(SUM(W17:Y23)&gt;0,"Complete performance data with correct values","")</f>
        <v>Complete performance data with correct values</v>
      </c>
    </row>
    <row r="18" spans="1:28" ht="21" x14ac:dyDescent="0.25">
      <c r="A18" s="47" t="s">
        <v>42</v>
      </c>
      <c r="B18" s="47">
        <v>-7</v>
      </c>
      <c r="C18" s="48">
        <f>(B18-16)/($E$5-16)</f>
        <v>0.60526315789473684</v>
      </c>
      <c r="D18" s="49" t="str">
        <f t="shared" si="2"/>
        <v/>
      </c>
      <c r="E18" s="162"/>
      <c r="F18" s="7"/>
      <c r="G18" s="7"/>
      <c r="H18" s="7"/>
      <c r="I18" s="22"/>
      <c r="J18" s="22"/>
      <c r="K18" s="40" t="s">
        <v>95</v>
      </c>
      <c r="L18" s="40" t="s">
        <v>96</v>
      </c>
      <c r="M18" s="40" t="s">
        <v>97</v>
      </c>
      <c r="N18" s="40" t="s">
        <v>103</v>
      </c>
      <c r="O18" s="40" t="s">
        <v>105</v>
      </c>
      <c r="P18" s="40" t="s">
        <v>92</v>
      </c>
      <c r="Q18" s="40" t="s">
        <v>107</v>
      </c>
      <c r="R18" s="40" t="s">
        <v>108</v>
      </c>
      <c r="S18" s="22"/>
      <c r="T18" s="22"/>
      <c r="W18" s="25">
        <f t="shared" si="3"/>
        <v>1</v>
      </c>
      <c r="X18" s="25">
        <f t="shared" si="3"/>
        <v>1</v>
      </c>
      <c r="Y18" s="25">
        <f t="shared" si="3"/>
        <v>1</v>
      </c>
    </row>
    <row r="19" spans="1:28" x14ac:dyDescent="0.25">
      <c r="A19" s="47" t="s">
        <v>43</v>
      </c>
      <c r="B19" s="47">
        <v>2</v>
      </c>
      <c r="C19" s="48">
        <f t="shared" ref="C19:C21" si="4">(B19-16)/($E$5-16)</f>
        <v>0.36842105263157893</v>
      </c>
      <c r="D19" s="49" t="str">
        <f t="shared" si="2"/>
        <v/>
      </c>
      <c r="E19" s="162"/>
      <c r="F19" s="7"/>
      <c r="G19" s="7"/>
      <c r="H19" s="7"/>
      <c r="I19" s="22"/>
      <c r="J19" s="22"/>
      <c r="K19" s="50" t="str">
        <f>IF($W$33&gt;0,"",O75/P75)</f>
        <v/>
      </c>
      <c r="L19" s="50" t="str">
        <f>IF($W$33&gt;0,"",O75/Q75)</f>
        <v/>
      </c>
      <c r="M19" s="50" t="str">
        <f>IF($W$33&gt;0,"",IF(AND($N$5&lt;&gt;0,$N$6&lt;&gt;0),1/($N$5/$K$19+$N$6/L$19),IF(AND($N$5="",$N$6&lt;&gt;0),1/($O$5/$K$19+$N$6/L$19),IF(AND($N$5&lt;&gt;0,$N$6=""),1/($N$5/$K$19+$O$6/L$19),1/($O$5/$K$19+$O$6/L$19)))))</f>
        <v/>
      </c>
      <c r="N19" s="51" t="str">
        <f>IF($W$33&gt;0,"",K75/M75)</f>
        <v/>
      </c>
      <c r="O19" s="51" t="str">
        <f>IF($W$33&gt;0,"",K75/N75)</f>
        <v/>
      </c>
      <c r="P19" s="51" t="str">
        <f>IF($W$33&gt;0,"",IF($B$7="heating only",E10/(E10/O19+D29+D30+D31),E10/(E10/O19+I29+I30+I31)))</f>
        <v/>
      </c>
      <c r="Q19" s="51" t="str">
        <f>IF($W$33&gt;0,"",IF(AND($N$5&lt;&gt;0,$N$6&lt;&gt;0),1/($N$5/$N$19+$N$6/P$19),(IF(AND($N$5="",$N$6&lt;&gt;0),1/($O$5/$N$19+$N$6/P$19),IF(AND($N$5&lt;&gt;0,$N$6=""),1/($N$5/$N$19+$O$6/P$19),1/($O$5/$N$19+$O$6/P$19))))))</f>
        <v/>
      </c>
      <c r="R19" s="51" t="str">
        <f>IF($W$33&gt;0,"",$Q$19*100-L27-L28)</f>
        <v/>
      </c>
      <c r="S19" s="22"/>
      <c r="T19" s="22"/>
      <c r="W19" s="25">
        <f t="shared" si="3"/>
        <v>1</v>
      </c>
      <c r="X19" s="25">
        <f t="shared" si="3"/>
        <v>1</v>
      </c>
      <c r="Y19" s="25">
        <f t="shared" si="3"/>
        <v>1</v>
      </c>
    </row>
    <row r="20" spans="1:28" x14ac:dyDescent="0.25">
      <c r="A20" s="47" t="s">
        <v>44</v>
      </c>
      <c r="B20" s="47">
        <v>7</v>
      </c>
      <c r="C20" s="48">
        <f t="shared" si="4"/>
        <v>0.23684210526315788</v>
      </c>
      <c r="D20" s="49" t="str">
        <f t="shared" si="2"/>
        <v/>
      </c>
      <c r="E20" s="162"/>
      <c r="F20" s="7"/>
      <c r="G20" s="7"/>
      <c r="H20" s="7"/>
      <c r="I20" s="22"/>
      <c r="J20" s="22"/>
      <c r="K20" s="21"/>
      <c r="L20" s="22"/>
      <c r="M20" s="21"/>
      <c r="N20" s="22"/>
      <c r="O20" s="22"/>
      <c r="P20" s="21"/>
      <c r="Q20" s="22"/>
      <c r="R20" s="22"/>
      <c r="S20" s="22"/>
      <c r="T20" s="22"/>
      <c r="W20" s="25">
        <f t="shared" si="3"/>
        <v>1</v>
      </c>
      <c r="X20" s="25">
        <f t="shared" si="3"/>
        <v>1</v>
      </c>
      <c r="Y20" s="25">
        <f t="shared" si="3"/>
        <v>1</v>
      </c>
    </row>
    <row r="21" spans="1:28" x14ac:dyDescent="0.25">
      <c r="A21" s="47" t="s">
        <v>45</v>
      </c>
      <c r="B21" s="47">
        <v>12</v>
      </c>
      <c r="C21" s="48">
        <f t="shared" si="4"/>
        <v>0.10526315789473684</v>
      </c>
      <c r="D21" s="49" t="str">
        <f t="shared" si="2"/>
        <v/>
      </c>
      <c r="E21" s="162"/>
      <c r="F21" s="7"/>
      <c r="G21" s="7"/>
      <c r="H21" s="7"/>
      <c r="I21" s="22"/>
      <c r="J21" s="22"/>
      <c r="K21" s="22"/>
      <c r="L21" s="22"/>
      <c r="M21" s="21"/>
      <c r="N21" s="22"/>
      <c r="O21" s="22"/>
      <c r="P21" s="22"/>
      <c r="Q21" s="22"/>
      <c r="R21" s="22"/>
      <c r="S21" s="22"/>
      <c r="T21" s="22"/>
      <c r="W21" s="25">
        <f t="shared" si="3"/>
        <v>1</v>
      </c>
      <c r="X21" s="25">
        <f t="shared" si="3"/>
        <v>1</v>
      </c>
      <c r="Y21" s="25">
        <f t="shared" si="3"/>
        <v>1</v>
      </c>
    </row>
    <row r="22" spans="1:28" x14ac:dyDescent="0.25">
      <c r="A22" s="47" t="s">
        <v>46</v>
      </c>
      <c r="B22" s="52" t="str">
        <f>IF(E8="","",IF(E8&lt;-22,-22,E8))</f>
        <v/>
      </c>
      <c r="C22" s="48" t="str">
        <f>IF(B22="","",(B22-16)/($E$5-16))</f>
        <v/>
      </c>
      <c r="D22" s="49" t="str">
        <f t="shared" si="2"/>
        <v/>
      </c>
      <c r="E22" s="162"/>
      <c r="F22" s="7"/>
      <c r="G22" s="7"/>
      <c r="H22" s="7"/>
      <c r="I22" s="22"/>
      <c r="J22" s="22"/>
      <c r="K22" s="22"/>
      <c r="L22" s="22"/>
      <c r="M22" s="21"/>
      <c r="N22" s="22"/>
      <c r="O22" s="22"/>
      <c r="P22" s="22"/>
      <c r="Q22" s="22"/>
      <c r="R22" s="22"/>
      <c r="S22" s="22"/>
      <c r="T22" s="22"/>
      <c r="W22" s="25">
        <f t="shared" si="3"/>
        <v>1</v>
      </c>
      <c r="X22" s="25">
        <f t="shared" si="3"/>
        <v>1</v>
      </c>
      <c r="Y22" s="25">
        <f t="shared" si="3"/>
        <v>1</v>
      </c>
    </row>
    <row r="23" spans="1:28" x14ac:dyDescent="0.25">
      <c r="A23" s="47" t="s">
        <v>47</v>
      </c>
      <c r="B23" s="52" t="str">
        <f>IF(E7="","",E7)</f>
        <v/>
      </c>
      <c r="C23" s="48" t="str">
        <f>IF(B23="","",(B23-16)/($E$5-16))</f>
        <v/>
      </c>
      <c r="D23" s="49" t="str">
        <f t="shared" si="2"/>
        <v/>
      </c>
      <c r="E23" s="162"/>
      <c r="F23" s="7"/>
      <c r="G23" s="7"/>
      <c r="H23" s="7"/>
      <c r="I23" s="22"/>
      <c r="J23" s="22"/>
      <c r="K23" s="22"/>
      <c r="L23" s="22"/>
      <c r="M23" s="21"/>
      <c r="N23" s="22"/>
      <c r="O23" s="22"/>
      <c r="P23" s="22"/>
      <c r="Q23" s="22"/>
      <c r="R23" s="22"/>
      <c r="S23" s="22"/>
      <c r="T23" s="22"/>
      <c r="W23" s="25">
        <f t="shared" si="3"/>
        <v>1</v>
      </c>
      <c r="X23" s="25">
        <f t="shared" si="3"/>
        <v>1</v>
      </c>
      <c r="Y23" s="25">
        <f t="shared" si="3"/>
        <v>1</v>
      </c>
    </row>
    <row r="24" spans="1:28" x14ac:dyDescent="0.25">
      <c r="A24" s="21"/>
      <c r="B24" s="21"/>
      <c r="C24" s="21"/>
      <c r="D24" s="21"/>
      <c r="E24" s="21"/>
      <c r="F24" s="21"/>
      <c r="G24" s="21"/>
      <c r="H24" s="21"/>
      <c r="I24" s="21"/>
      <c r="J24" s="53"/>
      <c r="K24" s="53"/>
      <c r="L24" s="53"/>
      <c r="M24" s="21"/>
      <c r="N24" s="22"/>
      <c r="O24" s="22"/>
      <c r="P24" s="22"/>
      <c r="Q24" s="22"/>
      <c r="R24" s="22"/>
      <c r="S24" s="22"/>
      <c r="T24" s="22"/>
    </row>
    <row r="25" spans="1:28" ht="18" customHeight="1" x14ac:dyDescent="0.25">
      <c r="A25" s="190" t="s">
        <v>48</v>
      </c>
      <c r="B25" s="191"/>
      <c r="C25" s="191"/>
      <c r="D25" s="191"/>
      <c r="E25" s="191"/>
      <c r="F25" s="191"/>
      <c r="G25" s="191"/>
      <c r="H25" s="191"/>
      <c r="I25" s="192"/>
      <c r="J25" s="53"/>
      <c r="K25" s="190" t="s">
        <v>164</v>
      </c>
      <c r="L25" s="192"/>
      <c r="M25" s="21"/>
      <c r="N25" s="22"/>
      <c r="O25" s="22"/>
      <c r="P25" s="22"/>
      <c r="Q25" s="22"/>
      <c r="R25" s="22"/>
      <c r="S25" s="22"/>
      <c r="T25" s="22"/>
    </row>
    <row r="26" spans="1:28" x14ac:dyDescent="0.25">
      <c r="A26" s="54" t="s">
        <v>49</v>
      </c>
      <c r="B26" s="46"/>
      <c r="C26" s="46"/>
      <c r="D26" s="46"/>
      <c r="E26" s="46"/>
      <c r="F26" s="183" t="s">
        <v>50</v>
      </c>
      <c r="G26" s="183"/>
      <c r="H26" s="183"/>
      <c r="I26" s="183"/>
      <c r="J26" s="53"/>
      <c r="K26" s="53"/>
      <c r="L26" s="53"/>
      <c r="M26" s="21"/>
      <c r="N26" s="22"/>
      <c r="O26" s="22"/>
      <c r="P26" s="22"/>
      <c r="Q26" s="22"/>
      <c r="R26" s="22"/>
      <c r="S26" s="22"/>
      <c r="T26" s="22"/>
    </row>
    <row r="27" spans="1:28" ht="18" customHeight="1" x14ac:dyDescent="0.25">
      <c r="A27" s="55"/>
      <c r="B27" s="56" t="s">
        <v>51</v>
      </c>
      <c r="C27" s="56" t="s">
        <v>110</v>
      </c>
      <c r="D27" s="56" t="s">
        <v>111</v>
      </c>
      <c r="E27" s="46"/>
      <c r="F27" s="55"/>
      <c r="G27" s="56" t="s">
        <v>51</v>
      </c>
      <c r="H27" s="56" t="s">
        <v>112</v>
      </c>
      <c r="I27" s="56" t="s">
        <v>111</v>
      </c>
      <c r="J27" s="53"/>
      <c r="K27" s="59" t="s">
        <v>113</v>
      </c>
      <c r="L27" s="60">
        <v>3</v>
      </c>
      <c r="M27" s="60" t="s">
        <v>34</v>
      </c>
      <c r="N27" s="53"/>
      <c r="O27" s="53"/>
      <c r="P27" s="21"/>
      <c r="Q27" s="22"/>
      <c r="R27" s="22"/>
      <c r="S27" s="22"/>
      <c r="T27" s="22"/>
    </row>
    <row r="28" spans="1:28" x14ac:dyDescent="0.25">
      <c r="A28" s="55"/>
      <c r="B28" s="57"/>
      <c r="C28" s="57" t="s">
        <v>161</v>
      </c>
      <c r="D28" s="57" t="s">
        <v>109</v>
      </c>
      <c r="E28" s="46"/>
      <c r="F28" s="55"/>
      <c r="G28" s="57"/>
      <c r="H28" s="57" t="s">
        <v>161</v>
      </c>
      <c r="I28" s="57" t="s">
        <v>109</v>
      </c>
      <c r="J28" s="53"/>
      <c r="K28" s="59" t="s">
        <v>114</v>
      </c>
      <c r="L28" s="60">
        <f>IF($B$6="ground water-to-water",2,IF($B$6="ground/brine-to-water",1,0))</f>
        <v>0</v>
      </c>
      <c r="M28" s="61" t="s">
        <v>34</v>
      </c>
      <c r="N28" s="53"/>
      <c r="O28" s="53"/>
      <c r="P28" s="21"/>
      <c r="Q28" s="22"/>
      <c r="R28" s="22"/>
      <c r="S28" s="22"/>
      <c r="T28" s="22"/>
    </row>
    <row r="29" spans="1:28" x14ac:dyDescent="0.25">
      <c r="A29" s="30" t="s">
        <v>52</v>
      </c>
      <c r="B29" s="47">
        <v>106</v>
      </c>
      <c r="C29" s="3"/>
      <c r="D29" s="58">
        <f>C29*B29</f>
        <v>0</v>
      </c>
      <c r="E29" s="46"/>
      <c r="F29" s="37" t="s">
        <v>52</v>
      </c>
      <c r="G29" s="40">
        <v>106</v>
      </c>
      <c r="H29" s="3"/>
      <c r="I29" s="58">
        <f>H29*G29</f>
        <v>0</v>
      </c>
      <c r="J29" s="53"/>
      <c r="K29" s="53"/>
      <c r="L29" s="53"/>
      <c r="M29" s="53"/>
      <c r="N29" s="53"/>
      <c r="O29" s="53"/>
      <c r="P29" s="21"/>
      <c r="Q29" s="22"/>
      <c r="R29" s="22"/>
      <c r="S29" s="22"/>
      <c r="T29" s="22"/>
      <c r="V29" s="25" t="s">
        <v>140</v>
      </c>
      <c r="W29" s="25" t="str">
        <f>IF($B$7="heating only",IF(AND(C29&gt;=0,ISNUMBER(C29)),"",1),"")</f>
        <v/>
      </c>
      <c r="X29" s="25">
        <f>IF($B$7="reversible",IF(AND(H29&gt;=0,ISNUMBER(H29)),"",1),"")</f>
        <v>1</v>
      </c>
      <c r="AA29" s="25" t="str">
        <f>IF(SUM(W29:W31)&gt;0,"Complete Auxiliary data for heating only","")</f>
        <v/>
      </c>
      <c r="AB29" s="25" t="str">
        <f>IF(SUM(X29:X31)&gt;0,"Complete Auxiliary data for reversible unit","")</f>
        <v>Complete Auxiliary data for reversible unit</v>
      </c>
    </row>
    <row r="30" spans="1:28" x14ac:dyDescent="0.25">
      <c r="A30" s="30" t="s">
        <v>53</v>
      </c>
      <c r="B30" s="47">
        <v>0</v>
      </c>
      <c r="C30" s="3"/>
      <c r="D30" s="58">
        <f t="shared" ref="D30:D31" si="5">C30*B30</f>
        <v>0</v>
      </c>
      <c r="E30" s="46"/>
      <c r="F30" s="37" t="s">
        <v>53</v>
      </c>
      <c r="G30" s="40">
        <v>0</v>
      </c>
      <c r="H30" s="3"/>
      <c r="I30" s="58">
        <f t="shared" ref="I30:I31" si="6">H30*G30</f>
        <v>0</v>
      </c>
      <c r="J30" s="53"/>
      <c r="K30" s="53"/>
      <c r="L30" s="53"/>
      <c r="M30" s="53"/>
      <c r="N30" s="53"/>
      <c r="O30" s="53"/>
      <c r="P30" s="21"/>
      <c r="Q30" s="22"/>
      <c r="R30" s="22"/>
      <c r="S30" s="22"/>
      <c r="T30" s="22"/>
      <c r="W30" s="25" t="str">
        <f t="shared" ref="W30:W31" si="7">IF($B$7="heating only",IF(AND(C30&gt;=0,ISNUMBER(C30)),"",1),"")</f>
        <v/>
      </c>
      <c r="X30" s="25">
        <f t="shared" ref="X30:X31" si="8">IF($B$7="reversible",IF(AND(H30&gt;=0,ISNUMBER(H30)),"",1),"")</f>
        <v>1</v>
      </c>
    </row>
    <row r="31" spans="1:28" x14ac:dyDescent="0.25">
      <c r="A31" s="30" t="s">
        <v>54</v>
      </c>
      <c r="B31" s="47">
        <v>2208</v>
      </c>
      <c r="C31" s="3"/>
      <c r="D31" s="58">
        <f t="shared" si="5"/>
        <v>0</v>
      </c>
      <c r="E31" s="46"/>
      <c r="F31" s="37" t="s">
        <v>54</v>
      </c>
      <c r="G31" s="40">
        <v>0</v>
      </c>
      <c r="H31" s="3"/>
      <c r="I31" s="58">
        <f t="shared" si="6"/>
        <v>0</v>
      </c>
      <c r="J31" s="53"/>
      <c r="K31" s="53"/>
      <c r="L31" s="53"/>
      <c r="M31" s="53"/>
      <c r="N31" s="53"/>
      <c r="O31" s="53"/>
      <c r="P31" s="21"/>
      <c r="Q31" s="22"/>
      <c r="R31" s="22"/>
      <c r="S31" s="22"/>
      <c r="W31" s="25" t="str">
        <f t="shared" si="7"/>
        <v/>
      </c>
      <c r="X31" s="25">
        <f t="shared" si="8"/>
        <v>1</v>
      </c>
    </row>
    <row r="32" spans="1:28" x14ac:dyDescent="0.25">
      <c r="A32" s="26"/>
      <c r="B32" s="21"/>
      <c r="C32" s="21"/>
      <c r="D32" s="21"/>
      <c r="E32" s="21"/>
      <c r="F32" s="21"/>
      <c r="G32" s="21"/>
      <c r="H32" s="21"/>
      <c r="I32" s="21"/>
      <c r="J32" s="53"/>
      <c r="K32" s="53"/>
      <c r="L32" s="53"/>
      <c r="M32" s="53"/>
      <c r="N32" s="53"/>
      <c r="O32" s="53"/>
      <c r="P32" s="21"/>
      <c r="Q32" s="22"/>
      <c r="R32" s="22"/>
      <c r="S32" s="22"/>
      <c r="T32" s="22"/>
    </row>
    <row r="33" spans="1:30" ht="18.75" thickBot="1" x14ac:dyDescent="0.3">
      <c r="A33" s="187" t="s">
        <v>4</v>
      </c>
      <c r="B33" s="188"/>
      <c r="C33" s="188"/>
      <c r="D33" s="188"/>
      <c r="E33" s="188"/>
      <c r="F33" s="188"/>
      <c r="G33" s="188"/>
      <c r="H33" s="188"/>
      <c r="I33" s="188"/>
      <c r="J33" s="188"/>
      <c r="K33" s="188"/>
      <c r="L33" s="188"/>
      <c r="M33" s="188"/>
      <c r="N33" s="188"/>
      <c r="O33" s="188"/>
      <c r="P33" s="188"/>
      <c r="Q33" s="189"/>
      <c r="R33" s="22"/>
      <c r="S33" s="22"/>
      <c r="T33" s="22"/>
      <c r="W33" s="25">
        <f>SUM(W6:Y31)</f>
        <v>28</v>
      </c>
    </row>
    <row r="34" spans="1:30" ht="54.75" x14ac:dyDescent="0.25">
      <c r="A34" s="177" t="s">
        <v>36</v>
      </c>
      <c r="B34" s="62" t="s">
        <v>55</v>
      </c>
      <c r="C34" s="62" t="s">
        <v>56</v>
      </c>
      <c r="D34" s="62" t="s">
        <v>57</v>
      </c>
      <c r="E34" s="63" t="s">
        <v>58</v>
      </c>
      <c r="F34" s="64" t="s">
        <v>72</v>
      </c>
      <c r="G34" s="179" t="s">
        <v>86</v>
      </c>
      <c r="H34" s="179"/>
      <c r="I34" s="179"/>
      <c r="J34" s="158" t="s">
        <v>84</v>
      </c>
      <c r="K34" s="65" t="s">
        <v>59</v>
      </c>
      <c r="L34" s="62" t="s">
        <v>73</v>
      </c>
      <c r="M34" s="62" t="s">
        <v>87</v>
      </c>
      <c r="N34" s="63" t="s">
        <v>88</v>
      </c>
      <c r="O34" s="65" t="s">
        <v>94</v>
      </c>
      <c r="P34" s="62" t="s">
        <v>93</v>
      </c>
      <c r="Q34" s="63" t="s">
        <v>98</v>
      </c>
      <c r="R34" s="22"/>
      <c r="S34" s="22"/>
      <c r="T34" s="22"/>
    </row>
    <row r="35" spans="1:30" ht="42" customHeight="1" x14ac:dyDescent="0.25">
      <c r="A35" s="178"/>
      <c r="B35" s="157" t="s">
        <v>60</v>
      </c>
      <c r="C35" s="157" t="s">
        <v>61</v>
      </c>
      <c r="D35" s="157" t="s">
        <v>62</v>
      </c>
      <c r="E35" s="66"/>
      <c r="F35" s="67" t="s">
        <v>63</v>
      </c>
      <c r="G35" s="157"/>
      <c r="H35" s="157" t="s">
        <v>76</v>
      </c>
      <c r="I35" s="157" t="s">
        <v>77</v>
      </c>
      <c r="J35" s="66" t="s">
        <v>78</v>
      </c>
      <c r="K35" s="67" t="s">
        <v>64</v>
      </c>
      <c r="L35" s="157" t="s">
        <v>83</v>
      </c>
      <c r="M35" s="157"/>
      <c r="N35" s="66"/>
      <c r="O35" s="68" t="s">
        <v>91</v>
      </c>
      <c r="P35" s="157" t="s">
        <v>90</v>
      </c>
      <c r="Q35" s="66" t="s">
        <v>89</v>
      </c>
      <c r="R35" s="22"/>
      <c r="S35" s="22"/>
      <c r="T35" s="22"/>
      <c r="Y35" s="25" t="s">
        <v>117</v>
      </c>
      <c r="Z35" s="25" t="s">
        <v>117</v>
      </c>
      <c r="AA35" s="25" t="s">
        <v>118</v>
      </c>
      <c r="AB35" s="25" t="s">
        <v>118</v>
      </c>
      <c r="AC35" s="25" t="s">
        <v>119</v>
      </c>
      <c r="AD35" s="25" t="s">
        <v>119</v>
      </c>
    </row>
    <row r="36" spans="1:30" x14ac:dyDescent="0.25">
      <c r="A36" s="100"/>
      <c r="B36" s="101" t="s">
        <v>65</v>
      </c>
      <c r="C36" s="101" t="s">
        <v>20</v>
      </c>
      <c r="D36" s="102" t="s">
        <v>74</v>
      </c>
      <c r="E36" s="167" t="s">
        <v>34</v>
      </c>
      <c r="F36" s="72" t="s">
        <v>75</v>
      </c>
      <c r="G36" s="32" t="s">
        <v>75</v>
      </c>
      <c r="H36" s="32" t="s">
        <v>65</v>
      </c>
      <c r="I36" s="30" t="s">
        <v>65</v>
      </c>
      <c r="J36" s="73" t="s">
        <v>75</v>
      </c>
      <c r="K36" s="74" t="s">
        <v>32</v>
      </c>
      <c r="L36" s="57" t="s">
        <v>32</v>
      </c>
      <c r="M36" s="57" t="s">
        <v>32</v>
      </c>
      <c r="N36" s="71" t="s">
        <v>32</v>
      </c>
      <c r="O36" s="74" t="s">
        <v>32</v>
      </c>
      <c r="P36" s="57" t="s">
        <v>32</v>
      </c>
      <c r="Q36" s="71" t="s">
        <v>32</v>
      </c>
      <c r="R36" s="22"/>
      <c r="S36" s="22"/>
      <c r="T36" s="22"/>
      <c r="V36" s="25">
        <f t="shared" ref="V36:V74" si="9">IF(A36="",0,1)</f>
        <v>0</v>
      </c>
      <c r="W36" s="25">
        <v>0</v>
      </c>
    </row>
    <row r="37" spans="1:30" x14ac:dyDescent="0.25">
      <c r="A37" s="75" t="str">
        <f>IF(OR($E$7="",$E$8=""),"",IF(AND(C37=$B$22,C37=$E$7),"E/F",IF(C37=$B$22,"E",IF(C37=$E$7,"F",""))))</f>
        <v/>
      </c>
      <c r="B37" s="159">
        <v>9</v>
      </c>
      <c r="C37" s="70">
        <v>-22</v>
      </c>
      <c r="D37" s="32">
        <v>1</v>
      </c>
      <c r="E37" s="76">
        <f t="shared" ref="E37:E48" si="10">(C37-16)/($E$5-16)</f>
        <v>1</v>
      </c>
      <c r="F37" s="77" t="str">
        <f t="shared" ref="F37:F74" si="11">IF($W$33&gt;0,"",$E$6*E37)</f>
        <v/>
      </c>
      <c r="G37" s="78" t="str">
        <f t="shared" ref="G37:G74" si="12">IF($W$33&gt;0,"",IF($C37&lt;$E$8,0,IF($C37=$E$7,F$23,IF($C37=$E$8,F$22,IF($V37=1,$Y37,($C37-$W37)/($X37-$W37)*($Z37-$Y37)+$Y37)))))</f>
        <v/>
      </c>
      <c r="H37" s="78" t="str">
        <f t="shared" ref="H37:H74" si="13">IF($W$33&gt;0,"",IF($C37&lt;$E$8,0,IF($C37=$E$7,G$23,IF($C37=$E$8,$G$22,IF($V37=1,$AA37,($C37-$W37)/($X37-$W37)*($AB37-$AA37)+$AA37)))))</f>
        <v/>
      </c>
      <c r="I37" s="78" t="str">
        <f t="shared" ref="I37:I74" si="14">IF($W$33&gt;0,"",IF($C37&lt;$E$8,0,IF($C37=$E$7,H$23,IF($C37=$E$8,H$22,IF($V37=1,$AC37,($C37-$W37)/($X37-$W37)*($AD37-$AC37)+$AC37)))))</f>
        <v/>
      </c>
      <c r="J37" s="79" t="str">
        <f t="shared" ref="J37:J74" si="15">IF($W$33&gt;0,"",IF(C37&lt;$E$8,F37,IF(C37&lt;$E$7,F37-G37,0)))</f>
        <v/>
      </c>
      <c r="K37" s="77" t="str">
        <f t="shared" ref="K37:K74" si="16">IF($W$33&gt;0,"",F37*D37)</f>
        <v/>
      </c>
      <c r="L37" s="80" t="str">
        <f t="shared" ref="L37:L74" si="17">IF($W$33&gt;0,"",J37*D37)</f>
        <v/>
      </c>
      <c r="M37" s="78" t="str">
        <f t="shared" ref="M37:M74" si="18">IF($W$33&gt;0,"",IF(AND(C37&lt;$E$8,$I$5=0),K37/$K$5,IF(AND(C37&lt;$E$8,$I$5&gt;0),K37/$I$5,IF(AND(C37&lt;$E$7,$I$5=0),D37*(G37/H37+J37/$K$5),IF(AND(C37&lt;$E$7,$I$5&gt;0),D37*(G37/H37+J37/$I$5),K37/H37)))))</f>
        <v/>
      </c>
      <c r="N37" s="79" t="str">
        <f>IF($W$33&gt;0,"",IF(AND(C37&lt;$E$8,$I$8=""),K37*$K$8,IF(AND(C37&lt;$E$8,$I$8&gt;0),K37*$I$8,IF(AND(C37&lt;$E$7,$I$8=""),D37*(G37/I37+J37*$K$8),IF(AND(C37&lt;$E$7,$I$8&gt;0),D37*(G37/I37+J37*$I$8),K37/I37)))))</f>
        <v/>
      </c>
      <c r="O37" s="77" t="str">
        <f t="shared" ref="O37:O74" si="19">IF($W$33&gt;0,"",IF(C37&lt;$E$8,0,D37*(F37-J37)))</f>
        <v/>
      </c>
      <c r="P37" s="78" t="str">
        <f t="shared" ref="P37:P74" si="20">IF($W$33&gt;0,"",IF(C37&lt;$E$8,0,D37*((F37-J37)/H37)))</f>
        <v/>
      </c>
      <c r="Q37" s="79" t="str">
        <f t="shared" ref="Q37:Q74" si="21">IF($W$33&gt;0,"",IF(C37&lt;$E$8,0,D37*((F37-J37)/I37)))</f>
        <v/>
      </c>
      <c r="R37" s="22"/>
      <c r="S37" s="22"/>
      <c r="T37" s="22"/>
      <c r="V37" s="25">
        <f t="shared" si="9"/>
        <v>0</v>
      </c>
      <c r="W37" s="25">
        <f t="shared" ref="W37:W59" si="22">IF(V37=0,W36,C37)</f>
        <v>0</v>
      </c>
      <c r="X37" s="25">
        <f t="shared" ref="X37:X73" si="23">IF(V37=0,X38,C37)</f>
        <v>-15</v>
      </c>
      <c r="Y37" s="25" t="e">
        <f t="shared" ref="Y37:Y74" si="24">VLOOKUP(W37,$B$17:$H$23,5,FALSE)</f>
        <v>#N/A</v>
      </c>
      <c r="Z37" s="82">
        <f t="shared" ref="Z37:Z74" si="25">VLOOKUP(X37,$B$17:$H$23,5,FALSE)</f>
        <v>0</v>
      </c>
      <c r="AA37" s="25" t="e">
        <f t="shared" ref="AA37:AA74" si="26">VLOOKUP(W37,$B$17:$H$23,6,FALSE)</f>
        <v>#N/A</v>
      </c>
      <c r="AB37" s="82">
        <f t="shared" ref="AB37:AB74" si="27">VLOOKUP(X37,$B$17:$H$23,6,FALSE)</f>
        <v>0</v>
      </c>
      <c r="AC37" s="25" t="e">
        <f t="shared" ref="AC37:AC74" si="28">VLOOKUP(W37,$B$17:$H$23,7,FALSE)</f>
        <v>#N/A</v>
      </c>
      <c r="AD37" s="82">
        <f t="shared" ref="AD37:AD74" si="29">VLOOKUP(X37,$B$17:$H$23,7,FALSE)</f>
        <v>0</v>
      </c>
    </row>
    <row r="38" spans="1:30" x14ac:dyDescent="0.25">
      <c r="A38" s="75" t="str">
        <f t="shared" ref="A38:A43" si="30">IF(OR($E$7="",$E$8=""),"",IF(AND(C38=$B$22,C38=$E$7),"E/F",IF(C38=$B$22,"E",IF(C38=$E$7,"F",""))))</f>
        <v/>
      </c>
      <c r="B38" s="159">
        <v>10</v>
      </c>
      <c r="C38" s="70">
        <v>-21</v>
      </c>
      <c r="D38" s="57">
        <v>6</v>
      </c>
      <c r="E38" s="103">
        <f t="shared" si="10"/>
        <v>0.97368421052631582</v>
      </c>
      <c r="F38" s="77" t="str">
        <f t="shared" si="11"/>
        <v/>
      </c>
      <c r="G38" s="78" t="str">
        <f t="shared" si="12"/>
        <v/>
      </c>
      <c r="H38" s="78" t="str">
        <f t="shared" si="13"/>
        <v/>
      </c>
      <c r="I38" s="78" t="str">
        <f t="shared" si="14"/>
        <v/>
      </c>
      <c r="J38" s="79" t="str">
        <f t="shared" si="15"/>
        <v/>
      </c>
      <c r="K38" s="77" t="str">
        <f t="shared" si="16"/>
        <v/>
      </c>
      <c r="L38" s="80" t="str">
        <f t="shared" si="17"/>
        <v/>
      </c>
      <c r="M38" s="78" t="str">
        <f t="shared" si="18"/>
        <v/>
      </c>
      <c r="N38" s="79" t="str">
        <f t="shared" ref="N38:N74" si="31">IF($W$33&gt;0,"",IF(AND(C38&lt;$E$8,$I$8=""),K38*$K$8,IF(AND(C38&lt;$E$8,$I$8&gt;0),K38*$I$8,IF(AND(C38&lt;$E$7,$I$8=""),D38*(G38/I38+J38*$K$8),IF(AND(C38&lt;$E$7,$I$8&gt;0),D38*(G38/I38+J38*$I$8),K38/I38)))))</f>
        <v/>
      </c>
      <c r="O38" s="77" t="str">
        <f t="shared" si="19"/>
        <v/>
      </c>
      <c r="P38" s="78" t="str">
        <f t="shared" si="20"/>
        <v/>
      </c>
      <c r="Q38" s="79" t="str">
        <f t="shared" si="21"/>
        <v/>
      </c>
      <c r="R38" s="22"/>
      <c r="S38" s="22"/>
      <c r="T38" s="22"/>
      <c r="V38" s="25">
        <f t="shared" si="9"/>
        <v>0</v>
      </c>
      <c r="W38" s="25">
        <f t="shared" si="22"/>
        <v>0</v>
      </c>
      <c r="X38" s="25">
        <f t="shared" si="23"/>
        <v>-15</v>
      </c>
      <c r="Y38" s="25" t="e">
        <f t="shared" si="24"/>
        <v>#N/A</v>
      </c>
      <c r="Z38" s="82">
        <f t="shared" si="25"/>
        <v>0</v>
      </c>
      <c r="AA38" s="25" t="e">
        <f t="shared" si="26"/>
        <v>#N/A</v>
      </c>
      <c r="AB38" s="82">
        <f t="shared" si="27"/>
        <v>0</v>
      </c>
      <c r="AC38" s="25" t="e">
        <f t="shared" si="28"/>
        <v>#N/A</v>
      </c>
      <c r="AD38" s="82">
        <f t="shared" si="29"/>
        <v>0</v>
      </c>
    </row>
    <row r="39" spans="1:30" x14ac:dyDescent="0.25">
      <c r="A39" s="75" t="str">
        <f t="shared" si="30"/>
        <v/>
      </c>
      <c r="B39" s="159">
        <v>11</v>
      </c>
      <c r="C39" s="70">
        <v>-20</v>
      </c>
      <c r="D39" s="57">
        <v>13</v>
      </c>
      <c r="E39" s="103">
        <f t="shared" si="10"/>
        <v>0.94736842105263153</v>
      </c>
      <c r="F39" s="77" t="str">
        <f t="shared" si="11"/>
        <v/>
      </c>
      <c r="G39" s="78" t="str">
        <f t="shared" si="12"/>
        <v/>
      </c>
      <c r="H39" s="78" t="str">
        <f t="shared" si="13"/>
        <v/>
      </c>
      <c r="I39" s="78" t="str">
        <f t="shared" si="14"/>
        <v/>
      </c>
      <c r="J39" s="79" t="str">
        <f t="shared" si="15"/>
        <v/>
      </c>
      <c r="K39" s="77" t="str">
        <f t="shared" si="16"/>
        <v/>
      </c>
      <c r="L39" s="80" t="str">
        <f t="shared" si="17"/>
        <v/>
      </c>
      <c r="M39" s="78" t="str">
        <f t="shared" si="18"/>
        <v/>
      </c>
      <c r="N39" s="79" t="str">
        <f t="shared" si="31"/>
        <v/>
      </c>
      <c r="O39" s="77" t="str">
        <f t="shared" si="19"/>
        <v/>
      </c>
      <c r="P39" s="78" t="str">
        <f t="shared" si="20"/>
        <v/>
      </c>
      <c r="Q39" s="79" t="str">
        <f t="shared" si="21"/>
        <v/>
      </c>
      <c r="R39" s="22"/>
      <c r="S39" s="22"/>
      <c r="T39" s="22"/>
      <c r="V39" s="25">
        <f t="shared" si="9"/>
        <v>0</v>
      </c>
      <c r="W39" s="25">
        <f t="shared" si="22"/>
        <v>0</v>
      </c>
      <c r="X39" s="25">
        <f t="shared" si="23"/>
        <v>-15</v>
      </c>
      <c r="Y39" s="25" t="e">
        <f t="shared" si="24"/>
        <v>#N/A</v>
      </c>
      <c r="Z39" s="82">
        <f t="shared" si="25"/>
        <v>0</v>
      </c>
      <c r="AA39" s="25" t="e">
        <f t="shared" si="26"/>
        <v>#N/A</v>
      </c>
      <c r="AB39" s="82">
        <f t="shared" si="27"/>
        <v>0</v>
      </c>
      <c r="AC39" s="25" t="e">
        <f t="shared" si="28"/>
        <v>#N/A</v>
      </c>
      <c r="AD39" s="82">
        <f t="shared" si="29"/>
        <v>0</v>
      </c>
    </row>
    <row r="40" spans="1:30" x14ac:dyDescent="0.25">
      <c r="A40" s="75" t="str">
        <f t="shared" si="30"/>
        <v/>
      </c>
      <c r="B40" s="159">
        <v>12</v>
      </c>
      <c r="C40" s="70">
        <v>-19</v>
      </c>
      <c r="D40" s="57">
        <v>17</v>
      </c>
      <c r="E40" s="103">
        <f t="shared" si="10"/>
        <v>0.92105263157894735</v>
      </c>
      <c r="F40" s="77" t="str">
        <f t="shared" si="11"/>
        <v/>
      </c>
      <c r="G40" s="78" t="str">
        <f t="shared" si="12"/>
        <v/>
      </c>
      <c r="H40" s="78" t="str">
        <f t="shared" si="13"/>
        <v/>
      </c>
      <c r="I40" s="78" t="str">
        <f t="shared" si="14"/>
        <v/>
      </c>
      <c r="J40" s="79" t="str">
        <f t="shared" si="15"/>
        <v/>
      </c>
      <c r="K40" s="77" t="str">
        <f t="shared" si="16"/>
        <v/>
      </c>
      <c r="L40" s="80" t="str">
        <f t="shared" si="17"/>
        <v/>
      </c>
      <c r="M40" s="78" t="str">
        <f t="shared" si="18"/>
        <v/>
      </c>
      <c r="N40" s="79" t="str">
        <f t="shared" si="31"/>
        <v/>
      </c>
      <c r="O40" s="77" t="str">
        <f t="shared" si="19"/>
        <v/>
      </c>
      <c r="P40" s="78" t="str">
        <f t="shared" si="20"/>
        <v/>
      </c>
      <c r="Q40" s="79" t="str">
        <f t="shared" si="21"/>
        <v/>
      </c>
      <c r="R40" s="22"/>
      <c r="S40" s="22"/>
      <c r="T40" s="22"/>
      <c r="V40" s="25">
        <f t="shared" si="9"/>
        <v>0</v>
      </c>
      <c r="W40" s="25">
        <f t="shared" si="22"/>
        <v>0</v>
      </c>
      <c r="X40" s="25">
        <f t="shared" si="23"/>
        <v>-15</v>
      </c>
      <c r="Y40" s="25" t="e">
        <f t="shared" si="24"/>
        <v>#N/A</v>
      </c>
      <c r="Z40" s="82">
        <f t="shared" si="25"/>
        <v>0</v>
      </c>
      <c r="AA40" s="25" t="e">
        <f t="shared" si="26"/>
        <v>#N/A</v>
      </c>
      <c r="AB40" s="82">
        <f t="shared" si="27"/>
        <v>0</v>
      </c>
      <c r="AC40" s="25" t="e">
        <f t="shared" si="28"/>
        <v>#N/A</v>
      </c>
      <c r="AD40" s="82">
        <f t="shared" si="29"/>
        <v>0</v>
      </c>
    </row>
    <row r="41" spans="1:30" x14ac:dyDescent="0.25">
      <c r="A41" s="75" t="str">
        <f t="shared" si="30"/>
        <v/>
      </c>
      <c r="B41" s="159">
        <v>13</v>
      </c>
      <c r="C41" s="70">
        <v>-18</v>
      </c>
      <c r="D41" s="57">
        <v>19</v>
      </c>
      <c r="E41" s="103">
        <f t="shared" si="10"/>
        <v>0.89473684210526316</v>
      </c>
      <c r="F41" s="77" t="str">
        <f t="shared" si="11"/>
        <v/>
      </c>
      <c r="G41" s="78" t="str">
        <f t="shared" si="12"/>
        <v/>
      </c>
      <c r="H41" s="78" t="str">
        <f t="shared" si="13"/>
        <v/>
      </c>
      <c r="I41" s="78" t="str">
        <f t="shared" si="14"/>
        <v/>
      </c>
      <c r="J41" s="79" t="str">
        <f t="shared" si="15"/>
        <v/>
      </c>
      <c r="K41" s="77" t="str">
        <f t="shared" si="16"/>
        <v/>
      </c>
      <c r="L41" s="80" t="str">
        <f t="shared" si="17"/>
        <v/>
      </c>
      <c r="M41" s="78" t="str">
        <f t="shared" si="18"/>
        <v/>
      </c>
      <c r="N41" s="79" t="str">
        <f t="shared" si="31"/>
        <v/>
      </c>
      <c r="O41" s="77" t="str">
        <f t="shared" si="19"/>
        <v/>
      </c>
      <c r="P41" s="78" t="str">
        <f t="shared" si="20"/>
        <v/>
      </c>
      <c r="Q41" s="79" t="str">
        <f t="shared" si="21"/>
        <v/>
      </c>
      <c r="R41" s="22"/>
      <c r="S41" s="22"/>
      <c r="T41" s="22"/>
      <c r="V41" s="25">
        <f t="shared" si="9"/>
        <v>0</v>
      </c>
      <c r="W41" s="25">
        <f t="shared" si="22"/>
        <v>0</v>
      </c>
      <c r="X41" s="25">
        <f t="shared" si="23"/>
        <v>-15</v>
      </c>
      <c r="Y41" s="25" t="e">
        <f t="shared" si="24"/>
        <v>#N/A</v>
      </c>
      <c r="Z41" s="82">
        <f t="shared" si="25"/>
        <v>0</v>
      </c>
      <c r="AA41" s="25" t="e">
        <f t="shared" si="26"/>
        <v>#N/A</v>
      </c>
      <c r="AB41" s="82">
        <f t="shared" si="27"/>
        <v>0</v>
      </c>
      <c r="AC41" s="25" t="e">
        <f t="shared" si="28"/>
        <v>#N/A</v>
      </c>
      <c r="AD41" s="82">
        <f t="shared" si="29"/>
        <v>0</v>
      </c>
    </row>
    <row r="42" spans="1:30" x14ac:dyDescent="0.25">
      <c r="A42" s="75" t="str">
        <f t="shared" si="30"/>
        <v/>
      </c>
      <c r="B42" s="159">
        <v>14</v>
      </c>
      <c r="C42" s="70">
        <v>-17</v>
      </c>
      <c r="D42" s="57">
        <v>26</v>
      </c>
      <c r="E42" s="103">
        <f t="shared" si="10"/>
        <v>0.86842105263157898</v>
      </c>
      <c r="F42" s="77" t="str">
        <f t="shared" si="11"/>
        <v/>
      </c>
      <c r="G42" s="78" t="str">
        <f t="shared" si="12"/>
        <v/>
      </c>
      <c r="H42" s="78" t="str">
        <f t="shared" si="13"/>
        <v/>
      </c>
      <c r="I42" s="78" t="str">
        <f t="shared" si="14"/>
        <v/>
      </c>
      <c r="J42" s="79" t="str">
        <f t="shared" si="15"/>
        <v/>
      </c>
      <c r="K42" s="77" t="str">
        <f t="shared" si="16"/>
        <v/>
      </c>
      <c r="L42" s="80" t="str">
        <f t="shared" si="17"/>
        <v/>
      </c>
      <c r="M42" s="78" t="str">
        <f t="shared" si="18"/>
        <v/>
      </c>
      <c r="N42" s="79" t="str">
        <f t="shared" si="31"/>
        <v/>
      </c>
      <c r="O42" s="77" t="str">
        <f t="shared" si="19"/>
        <v/>
      </c>
      <c r="P42" s="78" t="str">
        <f t="shared" si="20"/>
        <v/>
      </c>
      <c r="Q42" s="79" t="str">
        <f t="shared" si="21"/>
        <v/>
      </c>
      <c r="R42" s="22"/>
      <c r="S42" s="22"/>
      <c r="T42" s="22"/>
      <c r="V42" s="25">
        <f t="shared" si="9"/>
        <v>0</v>
      </c>
      <c r="W42" s="25">
        <f t="shared" si="22"/>
        <v>0</v>
      </c>
      <c r="X42" s="25">
        <f t="shared" si="23"/>
        <v>-15</v>
      </c>
      <c r="Y42" s="25" t="e">
        <f t="shared" si="24"/>
        <v>#N/A</v>
      </c>
      <c r="Z42" s="82">
        <f t="shared" si="25"/>
        <v>0</v>
      </c>
      <c r="AA42" s="25" t="e">
        <f t="shared" si="26"/>
        <v>#N/A</v>
      </c>
      <c r="AB42" s="82">
        <f t="shared" si="27"/>
        <v>0</v>
      </c>
      <c r="AC42" s="25" t="e">
        <f t="shared" si="28"/>
        <v>#N/A</v>
      </c>
      <c r="AD42" s="82">
        <f t="shared" si="29"/>
        <v>0</v>
      </c>
    </row>
    <row r="43" spans="1:30" x14ac:dyDescent="0.25">
      <c r="A43" s="75" t="str">
        <f t="shared" si="30"/>
        <v/>
      </c>
      <c r="B43" s="159">
        <v>15</v>
      </c>
      <c r="C43" s="70">
        <v>-16</v>
      </c>
      <c r="D43" s="57">
        <v>39</v>
      </c>
      <c r="E43" s="103">
        <f t="shared" si="10"/>
        <v>0.84210526315789469</v>
      </c>
      <c r="F43" s="77" t="str">
        <f t="shared" si="11"/>
        <v/>
      </c>
      <c r="G43" s="78" t="str">
        <f t="shared" si="12"/>
        <v/>
      </c>
      <c r="H43" s="78" t="str">
        <f t="shared" si="13"/>
        <v/>
      </c>
      <c r="I43" s="78" t="str">
        <f t="shared" si="14"/>
        <v/>
      </c>
      <c r="J43" s="79" t="str">
        <f t="shared" si="15"/>
        <v/>
      </c>
      <c r="K43" s="77" t="str">
        <f t="shared" si="16"/>
        <v/>
      </c>
      <c r="L43" s="80" t="str">
        <f t="shared" si="17"/>
        <v/>
      </c>
      <c r="M43" s="78" t="str">
        <f t="shared" si="18"/>
        <v/>
      </c>
      <c r="N43" s="79" t="str">
        <f t="shared" si="31"/>
        <v/>
      </c>
      <c r="O43" s="77" t="str">
        <f t="shared" si="19"/>
        <v/>
      </c>
      <c r="P43" s="78" t="str">
        <f t="shared" si="20"/>
        <v/>
      </c>
      <c r="Q43" s="79" t="str">
        <f t="shared" si="21"/>
        <v/>
      </c>
      <c r="R43" s="22"/>
      <c r="S43" s="22"/>
      <c r="T43" s="22"/>
      <c r="V43" s="25">
        <f t="shared" si="9"/>
        <v>0</v>
      </c>
      <c r="W43" s="25">
        <f t="shared" si="22"/>
        <v>0</v>
      </c>
      <c r="X43" s="25">
        <f t="shared" si="23"/>
        <v>-15</v>
      </c>
      <c r="Y43" s="25" t="e">
        <f t="shared" si="24"/>
        <v>#N/A</v>
      </c>
      <c r="Z43" s="82">
        <f t="shared" si="25"/>
        <v>0</v>
      </c>
      <c r="AA43" s="25" t="e">
        <f t="shared" si="26"/>
        <v>#N/A</v>
      </c>
      <c r="AB43" s="82">
        <f t="shared" si="27"/>
        <v>0</v>
      </c>
      <c r="AC43" s="25" t="e">
        <f t="shared" si="28"/>
        <v>#N/A</v>
      </c>
      <c r="AD43" s="82">
        <f t="shared" si="29"/>
        <v>0</v>
      </c>
    </row>
    <row r="44" spans="1:30" x14ac:dyDescent="0.25">
      <c r="A44" s="160" t="str">
        <f>IF(AND(C44=$B$22,C44=$E$7,C44=-15),"O/E/F",IF(C44=$B$22,"O/E",IF(C44=$E$7,"O/F","O")))</f>
        <v>O</v>
      </c>
      <c r="B44" s="70">
        <v>16</v>
      </c>
      <c r="C44" s="70">
        <v>-15</v>
      </c>
      <c r="D44" s="57">
        <v>41</v>
      </c>
      <c r="E44" s="103">
        <f t="shared" si="10"/>
        <v>0.81578947368421051</v>
      </c>
      <c r="F44" s="77" t="str">
        <f t="shared" si="11"/>
        <v/>
      </c>
      <c r="G44" s="78" t="str">
        <f t="shared" si="12"/>
        <v/>
      </c>
      <c r="H44" s="78" t="str">
        <f t="shared" si="13"/>
        <v/>
      </c>
      <c r="I44" s="78" t="str">
        <f t="shared" si="14"/>
        <v/>
      </c>
      <c r="J44" s="79" t="str">
        <f t="shared" si="15"/>
        <v/>
      </c>
      <c r="K44" s="77" t="str">
        <f t="shared" si="16"/>
        <v/>
      </c>
      <c r="L44" s="80" t="str">
        <f t="shared" si="17"/>
        <v/>
      </c>
      <c r="M44" s="78" t="str">
        <f t="shared" si="18"/>
        <v/>
      </c>
      <c r="N44" s="79" t="str">
        <f t="shared" si="31"/>
        <v/>
      </c>
      <c r="O44" s="77" t="str">
        <f t="shared" si="19"/>
        <v/>
      </c>
      <c r="P44" s="78" t="str">
        <f t="shared" si="20"/>
        <v/>
      </c>
      <c r="Q44" s="79" t="str">
        <f t="shared" si="21"/>
        <v/>
      </c>
      <c r="R44" s="81"/>
      <c r="S44" s="22"/>
      <c r="T44" s="22"/>
      <c r="V44" s="25">
        <f t="shared" si="9"/>
        <v>1</v>
      </c>
      <c r="W44" s="25">
        <f t="shared" si="22"/>
        <v>-15</v>
      </c>
      <c r="X44" s="25">
        <f t="shared" si="23"/>
        <v>-15</v>
      </c>
      <c r="Y44" s="25">
        <f t="shared" si="24"/>
        <v>0</v>
      </c>
      <c r="Z44" s="82">
        <f t="shared" si="25"/>
        <v>0</v>
      </c>
      <c r="AA44" s="25">
        <f t="shared" si="26"/>
        <v>0</v>
      </c>
      <c r="AB44" s="82">
        <f t="shared" si="27"/>
        <v>0</v>
      </c>
      <c r="AC44" s="25">
        <f t="shared" si="28"/>
        <v>0</v>
      </c>
      <c r="AD44" s="82">
        <f t="shared" si="29"/>
        <v>0</v>
      </c>
    </row>
    <row r="45" spans="1:30" x14ac:dyDescent="0.25">
      <c r="A45" s="160" t="str">
        <f>IF(OR($E$7="",$E$8=""),"",IF(AND(C45=$B$22,C45=$E$7),"E/F",IF(C45=$B$22,"E",IF(C45=$E$7,"F",""))))</f>
        <v/>
      </c>
      <c r="B45" s="70">
        <v>17</v>
      </c>
      <c r="C45" s="70">
        <v>-14</v>
      </c>
      <c r="D45" s="57">
        <v>35</v>
      </c>
      <c r="E45" s="103">
        <f t="shared" si="10"/>
        <v>0.78947368421052633</v>
      </c>
      <c r="F45" s="77" t="str">
        <f t="shared" si="11"/>
        <v/>
      </c>
      <c r="G45" s="78" t="str">
        <f t="shared" si="12"/>
        <v/>
      </c>
      <c r="H45" s="78" t="str">
        <f t="shared" si="13"/>
        <v/>
      </c>
      <c r="I45" s="78" t="str">
        <f t="shared" si="14"/>
        <v/>
      </c>
      <c r="J45" s="79" t="str">
        <f t="shared" si="15"/>
        <v/>
      </c>
      <c r="K45" s="77" t="str">
        <f t="shared" si="16"/>
        <v/>
      </c>
      <c r="L45" s="80" t="str">
        <f t="shared" si="17"/>
        <v/>
      </c>
      <c r="M45" s="78" t="str">
        <f t="shared" si="18"/>
        <v/>
      </c>
      <c r="N45" s="79" t="str">
        <f t="shared" si="31"/>
        <v/>
      </c>
      <c r="O45" s="77" t="str">
        <f t="shared" si="19"/>
        <v/>
      </c>
      <c r="P45" s="78" t="str">
        <f t="shared" si="20"/>
        <v/>
      </c>
      <c r="Q45" s="79" t="str">
        <f t="shared" si="21"/>
        <v/>
      </c>
      <c r="R45" s="22"/>
      <c r="S45" s="22"/>
      <c r="T45" s="22"/>
      <c r="V45" s="25">
        <f t="shared" si="9"/>
        <v>0</v>
      </c>
      <c r="W45" s="25">
        <f t="shared" si="22"/>
        <v>-15</v>
      </c>
      <c r="X45" s="25">
        <f t="shared" si="23"/>
        <v>-7</v>
      </c>
      <c r="Y45" s="25">
        <f t="shared" si="24"/>
        <v>0</v>
      </c>
      <c r="Z45" s="82">
        <f t="shared" si="25"/>
        <v>0</v>
      </c>
      <c r="AA45" s="25">
        <f t="shared" si="26"/>
        <v>0</v>
      </c>
      <c r="AB45" s="82">
        <f t="shared" si="27"/>
        <v>0</v>
      </c>
      <c r="AC45" s="25">
        <f t="shared" si="28"/>
        <v>0</v>
      </c>
      <c r="AD45" s="82">
        <f t="shared" si="29"/>
        <v>0</v>
      </c>
    </row>
    <row r="46" spans="1:30" x14ac:dyDescent="0.25">
      <c r="A46" s="160" t="str">
        <f t="shared" ref="A46:A51" si="32">IF(OR($E$7="",$E$8=""),"",IF(AND(C46=$B$22,C46=$E$7),"E/F",IF(C46=$B$22,"E",IF(C46=$E$7,"F",""))))</f>
        <v/>
      </c>
      <c r="B46" s="70">
        <v>18</v>
      </c>
      <c r="C46" s="70">
        <v>-13</v>
      </c>
      <c r="D46" s="57">
        <v>52</v>
      </c>
      <c r="E46" s="103">
        <f t="shared" si="10"/>
        <v>0.76315789473684215</v>
      </c>
      <c r="F46" s="77" t="str">
        <f t="shared" si="11"/>
        <v/>
      </c>
      <c r="G46" s="78" t="str">
        <f t="shared" si="12"/>
        <v/>
      </c>
      <c r="H46" s="78" t="str">
        <f t="shared" si="13"/>
        <v/>
      </c>
      <c r="I46" s="78" t="str">
        <f t="shared" si="14"/>
        <v/>
      </c>
      <c r="J46" s="79" t="str">
        <f t="shared" si="15"/>
        <v/>
      </c>
      <c r="K46" s="77" t="str">
        <f t="shared" si="16"/>
        <v/>
      </c>
      <c r="L46" s="80" t="str">
        <f t="shared" si="17"/>
        <v/>
      </c>
      <c r="M46" s="78" t="str">
        <f t="shared" si="18"/>
        <v/>
      </c>
      <c r="N46" s="79" t="str">
        <f t="shared" si="31"/>
        <v/>
      </c>
      <c r="O46" s="77" t="str">
        <f t="shared" si="19"/>
        <v/>
      </c>
      <c r="P46" s="78" t="str">
        <f t="shared" si="20"/>
        <v/>
      </c>
      <c r="Q46" s="79" t="str">
        <f t="shared" si="21"/>
        <v/>
      </c>
      <c r="R46" s="22"/>
      <c r="S46" s="22"/>
      <c r="T46" s="22"/>
      <c r="V46" s="25">
        <f t="shared" si="9"/>
        <v>0</v>
      </c>
      <c r="W46" s="25">
        <f t="shared" si="22"/>
        <v>-15</v>
      </c>
      <c r="X46" s="25">
        <f t="shared" si="23"/>
        <v>-7</v>
      </c>
      <c r="Y46" s="25">
        <f t="shared" si="24"/>
        <v>0</v>
      </c>
      <c r="Z46" s="82">
        <f t="shared" si="25"/>
        <v>0</v>
      </c>
      <c r="AA46" s="25">
        <f t="shared" si="26"/>
        <v>0</v>
      </c>
      <c r="AB46" s="82">
        <f t="shared" si="27"/>
        <v>0</v>
      </c>
      <c r="AC46" s="25">
        <f t="shared" si="28"/>
        <v>0</v>
      </c>
      <c r="AD46" s="82">
        <f t="shared" si="29"/>
        <v>0</v>
      </c>
    </row>
    <row r="47" spans="1:30" x14ac:dyDescent="0.25">
      <c r="A47" s="160" t="str">
        <f t="shared" si="32"/>
        <v/>
      </c>
      <c r="B47" s="70">
        <v>19</v>
      </c>
      <c r="C47" s="70">
        <v>-12</v>
      </c>
      <c r="D47" s="57">
        <v>37</v>
      </c>
      <c r="E47" s="103">
        <f t="shared" si="10"/>
        <v>0.73684210526315785</v>
      </c>
      <c r="F47" s="77" t="str">
        <f t="shared" si="11"/>
        <v/>
      </c>
      <c r="G47" s="78" t="str">
        <f t="shared" si="12"/>
        <v/>
      </c>
      <c r="H47" s="78" t="str">
        <f t="shared" si="13"/>
        <v/>
      </c>
      <c r="I47" s="78" t="str">
        <f t="shared" si="14"/>
        <v/>
      </c>
      <c r="J47" s="79" t="str">
        <f t="shared" si="15"/>
        <v/>
      </c>
      <c r="K47" s="77" t="str">
        <f t="shared" si="16"/>
        <v/>
      </c>
      <c r="L47" s="80" t="str">
        <f t="shared" si="17"/>
        <v/>
      </c>
      <c r="M47" s="78" t="str">
        <f t="shared" si="18"/>
        <v/>
      </c>
      <c r="N47" s="79" t="str">
        <f t="shared" si="31"/>
        <v/>
      </c>
      <c r="O47" s="77" t="str">
        <f t="shared" si="19"/>
        <v/>
      </c>
      <c r="P47" s="78" t="str">
        <f t="shared" si="20"/>
        <v/>
      </c>
      <c r="Q47" s="79" t="str">
        <f t="shared" si="21"/>
        <v/>
      </c>
      <c r="R47" s="22"/>
      <c r="S47" s="22"/>
      <c r="T47" s="22"/>
      <c r="V47" s="25">
        <f t="shared" si="9"/>
        <v>0</v>
      </c>
      <c r="W47" s="25">
        <f t="shared" si="22"/>
        <v>-15</v>
      </c>
      <c r="X47" s="25">
        <f t="shared" si="23"/>
        <v>-7</v>
      </c>
      <c r="Y47" s="25">
        <f t="shared" si="24"/>
        <v>0</v>
      </c>
      <c r="Z47" s="82">
        <f t="shared" si="25"/>
        <v>0</v>
      </c>
      <c r="AA47" s="25">
        <f t="shared" si="26"/>
        <v>0</v>
      </c>
      <c r="AB47" s="82">
        <f t="shared" si="27"/>
        <v>0</v>
      </c>
      <c r="AC47" s="25">
        <f t="shared" si="28"/>
        <v>0</v>
      </c>
      <c r="AD47" s="82">
        <f t="shared" si="29"/>
        <v>0</v>
      </c>
    </row>
    <row r="48" spans="1:30" x14ac:dyDescent="0.25">
      <c r="A48" s="160" t="str">
        <f t="shared" si="32"/>
        <v/>
      </c>
      <c r="B48" s="70">
        <v>20</v>
      </c>
      <c r="C48" s="70">
        <v>-11</v>
      </c>
      <c r="D48" s="57">
        <v>41</v>
      </c>
      <c r="E48" s="103">
        <f t="shared" si="10"/>
        <v>0.71052631578947367</v>
      </c>
      <c r="F48" s="77" t="str">
        <f t="shared" si="11"/>
        <v/>
      </c>
      <c r="G48" s="78" t="str">
        <f t="shared" si="12"/>
        <v/>
      </c>
      <c r="H48" s="78" t="str">
        <f t="shared" si="13"/>
        <v/>
      </c>
      <c r="I48" s="78" t="str">
        <f t="shared" si="14"/>
        <v/>
      </c>
      <c r="J48" s="79" t="str">
        <f t="shared" si="15"/>
        <v/>
      </c>
      <c r="K48" s="77" t="str">
        <f t="shared" si="16"/>
        <v/>
      </c>
      <c r="L48" s="80" t="str">
        <f t="shared" si="17"/>
        <v/>
      </c>
      <c r="M48" s="78" t="str">
        <f t="shared" si="18"/>
        <v/>
      </c>
      <c r="N48" s="79" t="str">
        <f t="shared" si="31"/>
        <v/>
      </c>
      <c r="O48" s="77" t="str">
        <f t="shared" si="19"/>
        <v/>
      </c>
      <c r="P48" s="78" t="str">
        <f t="shared" si="20"/>
        <v/>
      </c>
      <c r="Q48" s="79" t="str">
        <f t="shared" si="21"/>
        <v/>
      </c>
      <c r="R48" s="22"/>
      <c r="S48" s="22"/>
      <c r="T48" s="22"/>
      <c r="V48" s="25">
        <f t="shared" si="9"/>
        <v>0</v>
      </c>
      <c r="W48" s="25">
        <f t="shared" si="22"/>
        <v>-15</v>
      </c>
      <c r="X48" s="25">
        <f t="shared" si="23"/>
        <v>-7</v>
      </c>
      <c r="Y48" s="25">
        <f t="shared" si="24"/>
        <v>0</v>
      </c>
      <c r="Z48" s="82">
        <f t="shared" si="25"/>
        <v>0</v>
      </c>
      <c r="AA48" s="25">
        <f t="shared" si="26"/>
        <v>0</v>
      </c>
      <c r="AB48" s="82">
        <f t="shared" si="27"/>
        <v>0</v>
      </c>
      <c r="AC48" s="25">
        <f t="shared" si="28"/>
        <v>0</v>
      </c>
      <c r="AD48" s="82">
        <f t="shared" si="29"/>
        <v>0</v>
      </c>
    </row>
    <row r="49" spans="1:30" x14ac:dyDescent="0.25">
      <c r="A49" s="160" t="str">
        <f t="shared" si="32"/>
        <v/>
      </c>
      <c r="B49" s="70">
        <v>21</v>
      </c>
      <c r="C49" s="70">
        <v>-10</v>
      </c>
      <c r="D49" s="57">
        <v>43</v>
      </c>
      <c r="E49" s="103">
        <f>(C49-16)/($E$5-16)</f>
        <v>0.68421052631578949</v>
      </c>
      <c r="F49" s="77" t="str">
        <f t="shared" si="11"/>
        <v/>
      </c>
      <c r="G49" s="78" t="str">
        <f t="shared" si="12"/>
        <v/>
      </c>
      <c r="H49" s="78" t="str">
        <f t="shared" si="13"/>
        <v/>
      </c>
      <c r="I49" s="78" t="str">
        <f t="shared" si="14"/>
        <v/>
      </c>
      <c r="J49" s="79" t="str">
        <f t="shared" si="15"/>
        <v/>
      </c>
      <c r="K49" s="77" t="str">
        <f t="shared" si="16"/>
        <v/>
      </c>
      <c r="L49" s="80" t="str">
        <f t="shared" si="17"/>
        <v/>
      </c>
      <c r="M49" s="78" t="str">
        <f t="shared" si="18"/>
        <v/>
      </c>
      <c r="N49" s="79" t="str">
        <f t="shared" si="31"/>
        <v/>
      </c>
      <c r="O49" s="77" t="str">
        <f t="shared" si="19"/>
        <v/>
      </c>
      <c r="P49" s="78" t="str">
        <f t="shared" si="20"/>
        <v/>
      </c>
      <c r="Q49" s="79" t="str">
        <f t="shared" si="21"/>
        <v/>
      </c>
      <c r="R49" s="81"/>
      <c r="S49" s="22"/>
      <c r="T49" s="22"/>
      <c r="V49" s="25">
        <f t="shared" si="9"/>
        <v>0</v>
      </c>
      <c r="W49" s="25">
        <f t="shared" si="22"/>
        <v>-15</v>
      </c>
      <c r="X49" s="25">
        <f t="shared" si="23"/>
        <v>-7</v>
      </c>
      <c r="Y49" s="25">
        <f t="shared" si="24"/>
        <v>0</v>
      </c>
      <c r="Z49" s="82">
        <f t="shared" si="25"/>
        <v>0</v>
      </c>
      <c r="AA49" s="25">
        <f t="shared" si="26"/>
        <v>0</v>
      </c>
      <c r="AB49" s="82">
        <f t="shared" si="27"/>
        <v>0</v>
      </c>
      <c r="AC49" s="25">
        <f t="shared" si="28"/>
        <v>0</v>
      </c>
      <c r="AD49" s="82">
        <f t="shared" si="29"/>
        <v>0</v>
      </c>
    </row>
    <row r="50" spans="1:30" x14ac:dyDescent="0.25">
      <c r="A50" s="160" t="str">
        <f t="shared" si="32"/>
        <v/>
      </c>
      <c r="B50" s="70">
        <v>22</v>
      </c>
      <c r="C50" s="70">
        <v>-9</v>
      </c>
      <c r="D50" s="57">
        <v>54</v>
      </c>
      <c r="E50" s="103">
        <f t="shared" ref="E50:E74" si="33">(C50-16)/($E$5-16)</f>
        <v>0.65789473684210531</v>
      </c>
      <c r="F50" s="77" t="str">
        <f t="shared" si="11"/>
        <v/>
      </c>
      <c r="G50" s="78" t="str">
        <f t="shared" si="12"/>
        <v/>
      </c>
      <c r="H50" s="78" t="str">
        <f t="shared" si="13"/>
        <v/>
      </c>
      <c r="I50" s="78" t="str">
        <f t="shared" si="14"/>
        <v/>
      </c>
      <c r="J50" s="79" t="str">
        <f t="shared" si="15"/>
        <v/>
      </c>
      <c r="K50" s="77" t="str">
        <f t="shared" si="16"/>
        <v/>
      </c>
      <c r="L50" s="80" t="str">
        <f t="shared" si="17"/>
        <v/>
      </c>
      <c r="M50" s="78" t="str">
        <f t="shared" si="18"/>
        <v/>
      </c>
      <c r="N50" s="79" t="str">
        <f t="shared" si="31"/>
        <v/>
      </c>
      <c r="O50" s="77" t="str">
        <f t="shared" si="19"/>
        <v/>
      </c>
      <c r="P50" s="78" t="str">
        <f t="shared" si="20"/>
        <v/>
      </c>
      <c r="Q50" s="79" t="str">
        <f t="shared" si="21"/>
        <v/>
      </c>
      <c r="R50" s="81"/>
      <c r="S50" s="22"/>
      <c r="T50" s="22"/>
      <c r="V50" s="25">
        <f t="shared" si="9"/>
        <v>0</v>
      </c>
      <c r="W50" s="25">
        <f t="shared" si="22"/>
        <v>-15</v>
      </c>
      <c r="X50" s="25">
        <f t="shared" si="23"/>
        <v>-7</v>
      </c>
      <c r="Y50" s="25">
        <f t="shared" si="24"/>
        <v>0</v>
      </c>
      <c r="Z50" s="82">
        <f t="shared" si="25"/>
        <v>0</v>
      </c>
      <c r="AA50" s="25">
        <f t="shared" si="26"/>
        <v>0</v>
      </c>
      <c r="AB50" s="82">
        <f t="shared" si="27"/>
        <v>0</v>
      </c>
      <c r="AC50" s="25">
        <f t="shared" si="28"/>
        <v>0</v>
      </c>
      <c r="AD50" s="82">
        <f t="shared" si="29"/>
        <v>0</v>
      </c>
    </row>
    <row r="51" spans="1:30" x14ac:dyDescent="0.25">
      <c r="A51" s="160" t="str">
        <f t="shared" si="32"/>
        <v/>
      </c>
      <c r="B51" s="70">
        <v>23</v>
      </c>
      <c r="C51" s="70">
        <v>-8</v>
      </c>
      <c r="D51" s="57">
        <v>90</v>
      </c>
      <c r="E51" s="103">
        <f t="shared" si="33"/>
        <v>0.63157894736842102</v>
      </c>
      <c r="F51" s="77" t="str">
        <f t="shared" si="11"/>
        <v/>
      </c>
      <c r="G51" s="78" t="str">
        <f t="shared" si="12"/>
        <v/>
      </c>
      <c r="H51" s="78" t="str">
        <f t="shared" si="13"/>
        <v/>
      </c>
      <c r="I51" s="78" t="str">
        <f t="shared" si="14"/>
        <v/>
      </c>
      <c r="J51" s="79" t="str">
        <f t="shared" si="15"/>
        <v/>
      </c>
      <c r="K51" s="77" t="str">
        <f t="shared" si="16"/>
        <v/>
      </c>
      <c r="L51" s="80" t="str">
        <f t="shared" si="17"/>
        <v/>
      </c>
      <c r="M51" s="78" t="str">
        <f t="shared" si="18"/>
        <v/>
      </c>
      <c r="N51" s="79" t="str">
        <f t="shared" si="31"/>
        <v/>
      </c>
      <c r="O51" s="77" t="str">
        <f t="shared" si="19"/>
        <v/>
      </c>
      <c r="P51" s="78" t="str">
        <f t="shared" si="20"/>
        <v/>
      </c>
      <c r="Q51" s="79" t="str">
        <f t="shared" si="21"/>
        <v/>
      </c>
      <c r="R51" s="81"/>
      <c r="S51" s="22"/>
      <c r="T51" s="22"/>
      <c r="V51" s="25">
        <f t="shared" si="9"/>
        <v>0</v>
      </c>
      <c r="W51" s="25">
        <f t="shared" si="22"/>
        <v>-15</v>
      </c>
      <c r="X51" s="25">
        <f t="shared" si="23"/>
        <v>-7</v>
      </c>
      <c r="Y51" s="25">
        <f t="shared" si="24"/>
        <v>0</v>
      </c>
      <c r="Z51" s="82">
        <f t="shared" si="25"/>
        <v>0</v>
      </c>
      <c r="AA51" s="25">
        <f t="shared" si="26"/>
        <v>0</v>
      </c>
      <c r="AB51" s="82">
        <f t="shared" si="27"/>
        <v>0</v>
      </c>
      <c r="AC51" s="25">
        <f t="shared" si="28"/>
        <v>0</v>
      </c>
      <c r="AD51" s="82">
        <f t="shared" si="29"/>
        <v>0</v>
      </c>
    </row>
    <row r="52" spans="1:30" x14ac:dyDescent="0.25">
      <c r="A52" s="75" t="str">
        <f>IF(AND(C52=$B$22,C52=$E$7,C52=-7),"A/E/F",IF(C52=$B$22,"A/E",IF(C52=$E$7,"A/F","A")))</f>
        <v>A</v>
      </c>
      <c r="B52" s="70">
        <v>24</v>
      </c>
      <c r="C52" s="70">
        <v>-7</v>
      </c>
      <c r="D52" s="57">
        <v>125</v>
      </c>
      <c r="E52" s="103">
        <f t="shared" si="33"/>
        <v>0.60526315789473684</v>
      </c>
      <c r="F52" s="77" t="str">
        <f t="shared" si="11"/>
        <v/>
      </c>
      <c r="G52" s="78" t="str">
        <f t="shared" si="12"/>
        <v/>
      </c>
      <c r="H52" s="78" t="str">
        <f t="shared" si="13"/>
        <v/>
      </c>
      <c r="I52" s="78" t="str">
        <f t="shared" si="14"/>
        <v/>
      </c>
      <c r="J52" s="79" t="str">
        <f t="shared" si="15"/>
        <v/>
      </c>
      <c r="K52" s="77" t="str">
        <f t="shared" si="16"/>
        <v/>
      </c>
      <c r="L52" s="80" t="str">
        <f t="shared" si="17"/>
        <v/>
      </c>
      <c r="M52" s="78" t="str">
        <f t="shared" si="18"/>
        <v/>
      </c>
      <c r="N52" s="79" t="str">
        <f t="shared" si="31"/>
        <v/>
      </c>
      <c r="O52" s="77" t="str">
        <f t="shared" si="19"/>
        <v/>
      </c>
      <c r="P52" s="78" t="str">
        <f t="shared" si="20"/>
        <v/>
      </c>
      <c r="Q52" s="79" t="str">
        <f t="shared" si="21"/>
        <v/>
      </c>
      <c r="R52" s="81"/>
      <c r="S52" s="22"/>
      <c r="T52" s="22"/>
      <c r="V52" s="25">
        <f t="shared" si="9"/>
        <v>1</v>
      </c>
      <c r="W52" s="25">
        <f t="shared" si="22"/>
        <v>-7</v>
      </c>
      <c r="X52" s="25">
        <f t="shared" si="23"/>
        <v>-7</v>
      </c>
      <c r="Y52" s="25">
        <f t="shared" si="24"/>
        <v>0</v>
      </c>
      <c r="Z52" s="82">
        <f t="shared" si="25"/>
        <v>0</v>
      </c>
      <c r="AA52" s="25">
        <f t="shared" si="26"/>
        <v>0</v>
      </c>
      <c r="AB52" s="82">
        <f t="shared" si="27"/>
        <v>0</v>
      </c>
      <c r="AC52" s="25">
        <f t="shared" si="28"/>
        <v>0</v>
      </c>
      <c r="AD52" s="82">
        <f t="shared" si="29"/>
        <v>0</v>
      </c>
    </row>
    <row r="53" spans="1:30" x14ac:dyDescent="0.25">
      <c r="A53" s="160"/>
      <c r="B53" s="70">
        <v>25</v>
      </c>
      <c r="C53" s="70">
        <v>-6</v>
      </c>
      <c r="D53" s="57">
        <v>169</v>
      </c>
      <c r="E53" s="103">
        <f t="shared" si="33"/>
        <v>0.57894736842105265</v>
      </c>
      <c r="F53" s="77" t="str">
        <f t="shared" si="11"/>
        <v/>
      </c>
      <c r="G53" s="78" t="str">
        <f t="shared" si="12"/>
        <v/>
      </c>
      <c r="H53" s="78" t="str">
        <f t="shared" si="13"/>
        <v/>
      </c>
      <c r="I53" s="78" t="str">
        <f t="shared" si="14"/>
        <v/>
      </c>
      <c r="J53" s="79" t="str">
        <f t="shared" si="15"/>
        <v/>
      </c>
      <c r="K53" s="77" t="str">
        <f t="shared" si="16"/>
        <v/>
      </c>
      <c r="L53" s="80" t="str">
        <f t="shared" si="17"/>
        <v/>
      </c>
      <c r="M53" s="78" t="str">
        <f t="shared" si="18"/>
        <v/>
      </c>
      <c r="N53" s="79" t="str">
        <f t="shared" si="31"/>
        <v/>
      </c>
      <c r="O53" s="77" t="str">
        <f t="shared" si="19"/>
        <v/>
      </c>
      <c r="P53" s="78" t="str">
        <f t="shared" si="20"/>
        <v/>
      </c>
      <c r="Q53" s="79" t="str">
        <f t="shared" si="21"/>
        <v/>
      </c>
      <c r="R53" s="81"/>
      <c r="S53" s="22"/>
      <c r="T53" s="22"/>
      <c r="V53" s="25">
        <f t="shared" si="9"/>
        <v>0</v>
      </c>
      <c r="W53" s="25">
        <f t="shared" si="22"/>
        <v>-7</v>
      </c>
      <c r="X53" s="25">
        <f t="shared" si="23"/>
        <v>2</v>
      </c>
      <c r="Y53" s="25">
        <f t="shared" si="24"/>
        <v>0</v>
      </c>
      <c r="Z53" s="82">
        <f t="shared" si="25"/>
        <v>0</v>
      </c>
      <c r="AA53" s="25">
        <f t="shared" si="26"/>
        <v>0</v>
      </c>
      <c r="AB53" s="82">
        <f t="shared" si="27"/>
        <v>0</v>
      </c>
      <c r="AC53" s="25">
        <f t="shared" si="28"/>
        <v>0</v>
      </c>
      <c r="AD53" s="82">
        <f t="shared" si="29"/>
        <v>0</v>
      </c>
    </row>
    <row r="54" spans="1:30" x14ac:dyDescent="0.25">
      <c r="A54" s="160"/>
      <c r="B54" s="70">
        <v>26</v>
      </c>
      <c r="C54" s="70">
        <v>-5</v>
      </c>
      <c r="D54" s="57">
        <v>195</v>
      </c>
      <c r="E54" s="103">
        <f t="shared" si="33"/>
        <v>0.55263157894736847</v>
      </c>
      <c r="F54" s="77" t="str">
        <f t="shared" si="11"/>
        <v/>
      </c>
      <c r="G54" s="78" t="str">
        <f t="shared" si="12"/>
        <v/>
      </c>
      <c r="H54" s="78" t="str">
        <f t="shared" si="13"/>
        <v/>
      </c>
      <c r="I54" s="78" t="str">
        <f t="shared" si="14"/>
        <v/>
      </c>
      <c r="J54" s="79" t="str">
        <f t="shared" si="15"/>
        <v/>
      </c>
      <c r="K54" s="77" t="str">
        <f t="shared" si="16"/>
        <v/>
      </c>
      <c r="L54" s="80" t="str">
        <f t="shared" si="17"/>
        <v/>
      </c>
      <c r="M54" s="78" t="str">
        <f t="shared" si="18"/>
        <v/>
      </c>
      <c r="N54" s="79" t="str">
        <f t="shared" si="31"/>
        <v/>
      </c>
      <c r="O54" s="77" t="str">
        <f t="shared" si="19"/>
        <v/>
      </c>
      <c r="P54" s="78" t="str">
        <f t="shared" si="20"/>
        <v/>
      </c>
      <c r="Q54" s="79" t="str">
        <f t="shared" si="21"/>
        <v/>
      </c>
      <c r="R54" s="81"/>
      <c r="S54" s="22"/>
      <c r="T54" s="22"/>
      <c r="V54" s="25">
        <f t="shared" si="9"/>
        <v>0</v>
      </c>
      <c r="W54" s="25">
        <f t="shared" si="22"/>
        <v>-7</v>
      </c>
      <c r="X54" s="25">
        <f t="shared" si="23"/>
        <v>2</v>
      </c>
      <c r="Y54" s="25">
        <f t="shared" si="24"/>
        <v>0</v>
      </c>
      <c r="Z54" s="82">
        <f t="shared" si="25"/>
        <v>0</v>
      </c>
      <c r="AA54" s="25">
        <f t="shared" si="26"/>
        <v>0</v>
      </c>
      <c r="AB54" s="82">
        <f t="shared" si="27"/>
        <v>0</v>
      </c>
      <c r="AC54" s="25">
        <f t="shared" si="28"/>
        <v>0</v>
      </c>
      <c r="AD54" s="82">
        <f t="shared" si="29"/>
        <v>0</v>
      </c>
    </row>
    <row r="55" spans="1:30" x14ac:dyDescent="0.25">
      <c r="A55" s="160"/>
      <c r="B55" s="70">
        <v>27</v>
      </c>
      <c r="C55" s="70">
        <v>-4</v>
      </c>
      <c r="D55" s="57">
        <v>278</v>
      </c>
      <c r="E55" s="103">
        <f t="shared" si="33"/>
        <v>0.52631578947368418</v>
      </c>
      <c r="F55" s="77" t="str">
        <f t="shared" si="11"/>
        <v/>
      </c>
      <c r="G55" s="78" t="str">
        <f t="shared" si="12"/>
        <v/>
      </c>
      <c r="H55" s="78" t="str">
        <f t="shared" si="13"/>
        <v/>
      </c>
      <c r="I55" s="78" t="str">
        <f t="shared" si="14"/>
        <v/>
      </c>
      <c r="J55" s="79" t="str">
        <f t="shared" si="15"/>
        <v/>
      </c>
      <c r="K55" s="77" t="str">
        <f t="shared" si="16"/>
        <v/>
      </c>
      <c r="L55" s="80" t="str">
        <f t="shared" si="17"/>
        <v/>
      </c>
      <c r="M55" s="78" t="str">
        <f t="shared" si="18"/>
        <v/>
      </c>
      <c r="N55" s="79" t="str">
        <f t="shared" si="31"/>
        <v/>
      </c>
      <c r="O55" s="77" t="str">
        <f t="shared" si="19"/>
        <v/>
      </c>
      <c r="P55" s="78" t="str">
        <f t="shared" si="20"/>
        <v/>
      </c>
      <c r="Q55" s="79" t="str">
        <f t="shared" si="21"/>
        <v/>
      </c>
      <c r="R55" s="81"/>
      <c r="S55" s="22"/>
      <c r="T55" s="22"/>
      <c r="V55" s="25">
        <f t="shared" si="9"/>
        <v>0</v>
      </c>
      <c r="W55" s="25">
        <f t="shared" si="22"/>
        <v>-7</v>
      </c>
      <c r="X55" s="25">
        <f t="shared" si="23"/>
        <v>2</v>
      </c>
      <c r="Y55" s="25">
        <f t="shared" si="24"/>
        <v>0</v>
      </c>
      <c r="Z55" s="82">
        <f t="shared" si="25"/>
        <v>0</v>
      </c>
      <c r="AA55" s="25">
        <f t="shared" si="26"/>
        <v>0</v>
      </c>
      <c r="AB55" s="82">
        <f t="shared" si="27"/>
        <v>0</v>
      </c>
      <c r="AC55" s="25">
        <f t="shared" si="28"/>
        <v>0</v>
      </c>
      <c r="AD55" s="82">
        <f t="shared" si="29"/>
        <v>0</v>
      </c>
    </row>
    <row r="56" spans="1:30" x14ac:dyDescent="0.25">
      <c r="A56" s="160"/>
      <c r="B56" s="70">
        <v>28</v>
      </c>
      <c r="C56" s="70">
        <v>-3</v>
      </c>
      <c r="D56" s="57">
        <v>306</v>
      </c>
      <c r="E56" s="103">
        <f t="shared" si="33"/>
        <v>0.5</v>
      </c>
      <c r="F56" s="77" t="str">
        <f t="shared" si="11"/>
        <v/>
      </c>
      <c r="G56" s="78" t="str">
        <f t="shared" si="12"/>
        <v/>
      </c>
      <c r="H56" s="78" t="str">
        <f t="shared" si="13"/>
        <v/>
      </c>
      <c r="I56" s="78" t="str">
        <f t="shared" si="14"/>
        <v/>
      </c>
      <c r="J56" s="79" t="str">
        <f t="shared" si="15"/>
        <v/>
      </c>
      <c r="K56" s="77" t="str">
        <f t="shared" si="16"/>
        <v/>
      </c>
      <c r="L56" s="80" t="str">
        <f t="shared" si="17"/>
        <v/>
      </c>
      <c r="M56" s="78" t="str">
        <f t="shared" si="18"/>
        <v/>
      </c>
      <c r="N56" s="79" t="str">
        <f t="shared" si="31"/>
        <v/>
      </c>
      <c r="O56" s="77" t="str">
        <f t="shared" si="19"/>
        <v/>
      </c>
      <c r="P56" s="78" t="str">
        <f t="shared" si="20"/>
        <v/>
      </c>
      <c r="Q56" s="79" t="str">
        <f t="shared" si="21"/>
        <v/>
      </c>
      <c r="R56" s="81"/>
      <c r="S56" s="22"/>
      <c r="T56" s="22"/>
      <c r="V56" s="25">
        <f t="shared" si="9"/>
        <v>0</v>
      </c>
      <c r="W56" s="25">
        <f t="shared" si="22"/>
        <v>-7</v>
      </c>
      <c r="X56" s="25">
        <f t="shared" si="23"/>
        <v>2</v>
      </c>
      <c r="Y56" s="25">
        <f t="shared" si="24"/>
        <v>0</v>
      </c>
      <c r="Z56" s="82">
        <f t="shared" si="25"/>
        <v>0</v>
      </c>
      <c r="AA56" s="25">
        <f t="shared" si="26"/>
        <v>0</v>
      </c>
      <c r="AB56" s="82">
        <f t="shared" si="27"/>
        <v>0</v>
      </c>
      <c r="AC56" s="25">
        <f t="shared" si="28"/>
        <v>0</v>
      </c>
      <c r="AD56" s="82">
        <f t="shared" si="29"/>
        <v>0</v>
      </c>
    </row>
    <row r="57" spans="1:30" x14ac:dyDescent="0.25">
      <c r="A57" s="160"/>
      <c r="B57" s="70">
        <v>29</v>
      </c>
      <c r="C57" s="70">
        <v>-2</v>
      </c>
      <c r="D57" s="57">
        <v>454</v>
      </c>
      <c r="E57" s="103">
        <f t="shared" si="33"/>
        <v>0.47368421052631576</v>
      </c>
      <c r="F57" s="77" t="str">
        <f t="shared" si="11"/>
        <v/>
      </c>
      <c r="G57" s="78" t="str">
        <f t="shared" si="12"/>
        <v/>
      </c>
      <c r="H57" s="78" t="str">
        <f t="shared" si="13"/>
        <v/>
      </c>
      <c r="I57" s="78" t="str">
        <f t="shared" si="14"/>
        <v/>
      </c>
      <c r="J57" s="79" t="str">
        <f t="shared" si="15"/>
        <v/>
      </c>
      <c r="K57" s="77" t="str">
        <f t="shared" si="16"/>
        <v/>
      </c>
      <c r="L57" s="80" t="str">
        <f t="shared" si="17"/>
        <v/>
      </c>
      <c r="M57" s="78" t="str">
        <f t="shared" si="18"/>
        <v/>
      </c>
      <c r="N57" s="79" t="str">
        <f t="shared" si="31"/>
        <v/>
      </c>
      <c r="O57" s="77" t="str">
        <f t="shared" si="19"/>
        <v/>
      </c>
      <c r="P57" s="78" t="str">
        <f t="shared" si="20"/>
        <v/>
      </c>
      <c r="Q57" s="79" t="str">
        <f t="shared" si="21"/>
        <v/>
      </c>
      <c r="R57" s="81"/>
      <c r="S57" s="22"/>
      <c r="T57" s="22"/>
      <c r="V57" s="25">
        <f t="shared" si="9"/>
        <v>0</v>
      </c>
      <c r="W57" s="25">
        <f t="shared" si="22"/>
        <v>-7</v>
      </c>
      <c r="X57" s="25">
        <f t="shared" si="23"/>
        <v>2</v>
      </c>
      <c r="Y57" s="25">
        <f t="shared" si="24"/>
        <v>0</v>
      </c>
      <c r="Z57" s="82">
        <f t="shared" si="25"/>
        <v>0</v>
      </c>
      <c r="AA57" s="25">
        <f t="shared" si="26"/>
        <v>0</v>
      </c>
      <c r="AB57" s="82">
        <f t="shared" si="27"/>
        <v>0</v>
      </c>
      <c r="AC57" s="25">
        <f t="shared" si="28"/>
        <v>0</v>
      </c>
      <c r="AD57" s="82">
        <f t="shared" si="29"/>
        <v>0</v>
      </c>
    </row>
    <row r="58" spans="1:30" x14ac:dyDescent="0.25">
      <c r="A58" s="160"/>
      <c r="B58" s="70">
        <v>30</v>
      </c>
      <c r="C58" s="70">
        <v>-1</v>
      </c>
      <c r="D58" s="57">
        <v>385</v>
      </c>
      <c r="E58" s="103">
        <f t="shared" si="33"/>
        <v>0.44736842105263158</v>
      </c>
      <c r="F58" s="77" t="str">
        <f t="shared" si="11"/>
        <v/>
      </c>
      <c r="G58" s="78" t="str">
        <f t="shared" si="12"/>
        <v/>
      </c>
      <c r="H58" s="78" t="str">
        <f t="shared" si="13"/>
        <v/>
      </c>
      <c r="I58" s="78" t="str">
        <f t="shared" si="14"/>
        <v/>
      </c>
      <c r="J58" s="79" t="str">
        <f t="shared" si="15"/>
        <v/>
      </c>
      <c r="K58" s="77" t="str">
        <f t="shared" si="16"/>
        <v/>
      </c>
      <c r="L58" s="80" t="str">
        <f t="shared" si="17"/>
        <v/>
      </c>
      <c r="M58" s="78" t="str">
        <f t="shared" si="18"/>
        <v/>
      </c>
      <c r="N58" s="79" t="str">
        <f t="shared" si="31"/>
        <v/>
      </c>
      <c r="O58" s="77" t="str">
        <f t="shared" si="19"/>
        <v/>
      </c>
      <c r="P58" s="78" t="str">
        <f t="shared" si="20"/>
        <v/>
      </c>
      <c r="Q58" s="79" t="str">
        <f t="shared" si="21"/>
        <v/>
      </c>
      <c r="R58" s="81"/>
      <c r="S58" s="22"/>
      <c r="T58" s="22"/>
      <c r="V58" s="25">
        <f t="shared" si="9"/>
        <v>0</v>
      </c>
      <c r="W58" s="25">
        <f t="shared" si="22"/>
        <v>-7</v>
      </c>
      <c r="X58" s="25">
        <f t="shared" si="23"/>
        <v>2</v>
      </c>
      <c r="Y58" s="25">
        <f t="shared" si="24"/>
        <v>0</v>
      </c>
      <c r="Z58" s="82">
        <f t="shared" si="25"/>
        <v>0</v>
      </c>
      <c r="AA58" s="25">
        <f t="shared" si="26"/>
        <v>0</v>
      </c>
      <c r="AB58" s="82">
        <f t="shared" si="27"/>
        <v>0</v>
      </c>
      <c r="AC58" s="25">
        <f t="shared" si="28"/>
        <v>0</v>
      </c>
      <c r="AD58" s="82">
        <f t="shared" si="29"/>
        <v>0</v>
      </c>
    </row>
    <row r="59" spans="1:30" x14ac:dyDescent="0.25">
      <c r="A59" s="160"/>
      <c r="B59" s="70">
        <v>31</v>
      </c>
      <c r="C59" s="70">
        <v>0</v>
      </c>
      <c r="D59" s="57">
        <v>490</v>
      </c>
      <c r="E59" s="103">
        <f t="shared" si="33"/>
        <v>0.42105263157894735</v>
      </c>
      <c r="F59" s="77" t="str">
        <f t="shared" si="11"/>
        <v/>
      </c>
      <c r="G59" s="78" t="str">
        <f t="shared" si="12"/>
        <v/>
      </c>
      <c r="H59" s="78" t="str">
        <f t="shared" si="13"/>
        <v/>
      </c>
      <c r="I59" s="78" t="str">
        <f t="shared" si="14"/>
        <v/>
      </c>
      <c r="J59" s="79" t="str">
        <f t="shared" si="15"/>
        <v/>
      </c>
      <c r="K59" s="77" t="str">
        <f t="shared" si="16"/>
        <v/>
      </c>
      <c r="L59" s="80" t="str">
        <f t="shared" si="17"/>
        <v/>
      </c>
      <c r="M59" s="78" t="str">
        <f t="shared" si="18"/>
        <v/>
      </c>
      <c r="N59" s="79" t="str">
        <f t="shared" si="31"/>
        <v/>
      </c>
      <c r="O59" s="77" t="str">
        <f t="shared" si="19"/>
        <v/>
      </c>
      <c r="P59" s="78" t="str">
        <f t="shared" si="20"/>
        <v/>
      </c>
      <c r="Q59" s="79" t="str">
        <f t="shared" si="21"/>
        <v/>
      </c>
      <c r="R59" s="81"/>
      <c r="S59" s="22"/>
      <c r="T59" s="22"/>
      <c r="V59" s="25">
        <f t="shared" si="9"/>
        <v>0</v>
      </c>
      <c r="W59" s="25">
        <f t="shared" si="22"/>
        <v>-7</v>
      </c>
      <c r="X59" s="25">
        <f t="shared" si="23"/>
        <v>2</v>
      </c>
      <c r="Y59" s="25">
        <f t="shared" si="24"/>
        <v>0</v>
      </c>
      <c r="Z59" s="82">
        <f t="shared" si="25"/>
        <v>0</v>
      </c>
      <c r="AA59" s="25">
        <f t="shared" si="26"/>
        <v>0</v>
      </c>
      <c r="AB59" s="82">
        <f t="shared" si="27"/>
        <v>0</v>
      </c>
      <c r="AC59" s="25">
        <f t="shared" si="28"/>
        <v>0</v>
      </c>
      <c r="AD59" s="82">
        <f t="shared" si="29"/>
        <v>0</v>
      </c>
    </row>
    <row r="60" spans="1:30" x14ac:dyDescent="0.25">
      <c r="A60" s="160"/>
      <c r="B60" s="70">
        <v>32</v>
      </c>
      <c r="C60" s="70">
        <v>1</v>
      </c>
      <c r="D60" s="57">
        <v>533</v>
      </c>
      <c r="E60" s="103">
        <f t="shared" si="33"/>
        <v>0.39473684210526316</v>
      </c>
      <c r="F60" s="77" t="str">
        <f t="shared" si="11"/>
        <v/>
      </c>
      <c r="G60" s="78" t="str">
        <f t="shared" si="12"/>
        <v/>
      </c>
      <c r="H60" s="78" t="str">
        <f t="shared" si="13"/>
        <v/>
      </c>
      <c r="I60" s="78" t="str">
        <f t="shared" si="14"/>
        <v/>
      </c>
      <c r="J60" s="79" t="str">
        <f t="shared" si="15"/>
        <v/>
      </c>
      <c r="K60" s="77" t="str">
        <f t="shared" si="16"/>
        <v/>
      </c>
      <c r="L60" s="80" t="str">
        <f t="shared" si="17"/>
        <v/>
      </c>
      <c r="M60" s="78" t="str">
        <f t="shared" si="18"/>
        <v/>
      </c>
      <c r="N60" s="79" t="str">
        <f t="shared" si="31"/>
        <v/>
      </c>
      <c r="O60" s="77" t="str">
        <f t="shared" si="19"/>
        <v/>
      </c>
      <c r="P60" s="78" t="str">
        <f t="shared" si="20"/>
        <v/>
      </c>
      <c r="Q60" s="79" t="str">
        <f t="shared" si="21"/>
        <v/>
      </c>
      <c r="R60" s="81"/>
      <c r="S60" s="22"/>
      <c r="T60" s="22"/>
      <c r="V60" s="25">
        <f t="shared" si="9"/>
        <v>0</v>
      </c>
      <c r="W60" s="25">
        <v>7</v>
      </c>
      <c r="X60" s="25">
        <f t="shared" si="23"/>
        <v>2</v>
      </c>
      <c r="Y60" s="25">
        <f t="shared" si="24"/>
        <v>0</v>
      </c>
      <c r="Z60" s="82">
        <f t="shared" si="25"/>
        <v>0</v>
      </c>
      <c r="AA60" s="25">
        <f t="shared" si="26"/>
        <v>0</v>
      </c>
      <c r="AB60" s="82">
        <f t="shared" si="27"/>
        <v>0</v>
      </c>
      <c r="AC60" s="25">
        <f t="shared" si="28"/>
        <v>0</v>
      </c>
      <c r="AD60" s="82">
        <f t="shared" si="29"/>
        <v>0</v>
      </c>
    </row>
    <row r="61" spans="1:30" x14ac:dyDescent="0.25">
      <c r="A61" s="75" t="s">
        <v>43</v>
      </c>
      <c r="B61" s="70">
        <v>33</v>
      </c>
      <c r="C61" s="70">
        <v>2</v>
      </c>
      <c r="D61" s="57">
        <v>380</v>
      </c>
      <c r="E61" s="103">
        <f t="shared" si="33"/>
        <v>0.36842105263157893</v>
      </c>
      <c r="F61" s="77" t="str">
        <f t="shared" si="11"/>
        <v/>
      </c>
      <c r="G61" s="78" t="str">
        <f t="shared" si="12"/>
        <v/>
      </c>
      <c r="H61" s="78" t="str">
        <f t="shared" si="13"/>
        <v/>
      </c>
      <c r="I61" s="78" t="str">
        <f t="shared" si="14"/>
        <v/>
      </c>
      <c r="J61" s="79" t="str">
        <f t="shared" si="15"/>
        <v/>
      </c>
      <c r="K61" s="77" t="str">
        <f t="shared" si="16"/>
        <v/>
      </c>
      <c r="L61" s="80" t="str">
        <f t="shared" si="17"/>
        <v/>
      </c>
      <c r="M61" s="78" t="str">
        <f t="shared" si="18"/>
        <v/>
      </c>
      <c r="N61" s="79" t="str">
        <f t="shared" si="31"/>
        <v/>
      </c>
      <c r="O61" s="77" t="str">
        <f t="shared" si="19"/>
        <v/>
      </c>
      <c r="P61" s="78" t="str">
        <f t="shared" si="20"/>
        <v/>
      </c>
      <c r="Q61" s="79" t="str">
        <f t="shared" si="21"/>
        <v/>
      </c>
      <c r="R61" s="81"/>
      <c r="S61" s="22"/>
      <c r="T61" s="22"/>
      <c r="V61" s="25">
        <f t="shared" si="9"/>
        <v>1</v>
      </c>
      <c r="W61" s="25">
        <f t="shared" ref="W61:W71" si="34">IF(V61=0,W60,C61)</f>
        <v>2</v>
      </c>
      <c r="X61" s="25">
        <f t="shared" si="23"/>
        <v>2</v>
      </c>
      <c r="Y61" s="25">
        <f t="shared" si="24"/>
        <v>0</v>
      </c>
      <c r="Z61" s="82">
        <f t="shared" si="25"/>
        <v>0</v>
      </c>
      <c r="AA61" s="25">
        <f t="shared" si="26"/>
        <v>0</v>
      </c>
      <c r="AB61" s="82">
        <f t="shared" si="27"/>
        <v>0</v>
      </c>
      <c r="AC61" s="25">
        <f t="shared" si="28"/>
        <v>0</v>
      </c>
      <c r="AD61" s="82">
        <f t="shared" si="29"/>
        <v>0</v>
      </c>
    </row>
    <row r="62" spans="1:30" x14ac:dyDescent="0.25">
      <c r="A62" s="75"/>
      <c r="B62" s="70">
        <v>34</v>
      </c>
      <c r="C62" s="70">
        <v>3</v>
      </c>
      <c r="D62" s="57">
        <v>228</v>
      </c>
      <c r="E62" s="103">
        <f t="shared" si="33"/>
        <v>0.34210526315789475</v>
      </c>
      <c r="F62" s="77" t="str">
        <f t="shared" si="11"/>
        <v/>
      </c>
      <c r="G62" s="78" t="str">
        <f t="shared" si="12"/>
        <v/>
      </c>
      <c r="H62" s="78" t="str">
        <f t="shared" si="13"/>
        <v/>
      </c>
      <c r="I62" s="78" t="str">
        <f t="shared" si="14"/>
        <v/>
      </c>
      <c r="J62" s="79" t="str">
        <f t="shared" si="15"/>
        <v/>
      </c>
      <c r="K62" s="77" t="str">
        <f t="shared" si="16"/>
        <v/>
      </c>
      <c r="L62" s="80" t="str">
        <f t="shared" si="17"/>
        <v/>
      </c>
      <c r="M62" s="78" t="str">
        <f t="shared" si="18"/>
        <v/>
      </c>
      <c r="N62" s="79" t="str">
        <f t="shared" si="31"/>
        <v/>
      </c>
      <c r="O62" s="77" t="str">
        <f t="shared" si="19"/>
        <v/>
      </c>
      <c r="P62" s="78" t="str">
        <f t="shared" si="20"/>
        <v/>
      </c>
      <c r="Q62" s="79" t="str">
        <f t="shared" si="21"/>
        <v/>
      </c>
      <c r="R62" s="81"/>
      <c r="S62" s="22"/>
      <c r="T62" s="22"/>
      <c r="V62" s="25">
        <f t="shared" si="9"/>
        <v>0</v>
      </c>
      <c r="W62" s="25">
        <f t="shared" si="34"/>
        <v>2</v>
      </c>
      <c r="X62" s="25">
        <f t="shared" si="23"/>
        <v>7</v>
      </c>
      <c r="Y62" s="25">
        <f t="shared" si="24"/>
        <v>0</v>
      </c>
      <c r="Z62" s="82">
        <f t="shared" si="25"/>
        <v>0</v>
      </c>
      <c r="AA62" s="25">
        <f t="shared" si="26"/>
        <v>0</v>
      </c>
      <c r="AB62" s="82">
        <f t="shared" si="27"/>
        <v>0</v>
      </c>
      <c r="AC62" s="25">
        <f t="shared" si="28"/>
        <v>0</v>
      </c>
      <c r="AD62" s="82">
        <f t="shared" si="29"/>
        <v>0</v>
      </c>
    </row>
    <row r="63" spans="1:30" x14ac:dyDescent="0.25">
      <c r="A63" s="75"/>
      <c r="B63" s="70">
        <v>35</v>
      </c>
      <c r="C63" s="70">
        <v>4</v>
      </c>
      <c r="D63" s="57">
        <v>261</v>
      </c>
      <c r="E63" s="103">
        <f t="shared" si="33"/>
        <v>0.31578947368421051</v>
      </c>
      <c r="F63" s="77" t="str">
        <f t="shared" si="11"/>
        <v/>
      </c>
      <c r="G63" s="78" t="str">
        <f t="shared" si="12"/>
        <v/>
      </c>
      <c r="H63" s="78" t="str">
        <f t="shared" si="13"/>
        <v/>
      </c>
      <c r="I63" s="78" t="str">
        <f t="shared" si="14"/>
        <v/>
      </c>
      <c r="J63" s="79" t="str">
        <f t="shared" si="15"/>
        <v/>
      </c>
      <c r="K63" s="77" t="str">
        <f t="shared" si="16"/>
        <v/>
      </c>
      <c r="L63" s="80" t="str">
        <f t="shared" si="17"/>
        <v/>
      </c>
      <c r="M63" s="78" t="str">
        <f t="shared" si="18"/>
        <v/>
      </c>
      <c r="N63" s="79" t="str">
        <f t="shared" si="31"/>
        <v/>
      </c>
      <c r="O63" s="77" t="str">
        <f t="shared" si="19"/>
        <v/>
      </c>
      <c r="P63" s="78" t="str">
        <f t="shared" si="20"/>
        <v/>
      </c>
      <c r="Q63" s="79" t="str">
        <f t="shared" si="21"/>
        <v/>
      </c>
      <c r="R63" s="81"/>
      <c r="S63" s="22"/>
      <c r="T63" s="22"/>
      <c r="V63" s="25">
        <f t="shared" si="9"/>
        <v>0</v>
      </c>
      <c r="W63" s="25">
        <f t="shared" si="34"/>
        <v>2</v>
      </c>
      <c r="X63" s="25">
        <f t="shared" si="23"/>
        <v>7</v>
      </c>
      <c r="Y63" s="25">
        <f t="shared" si="24"/>
        <v>0</v>
      </c>
      <c r="Z63" s="82">
        <f t="shared" si="25"/>
        <v>0</v>
      </c>
      <c r="AA63" s="25">
        <f t="shared" si="26"/>
        <v>0</v>
      </c>
      <c r="AB63" s="82">
        <f t="shared" si="27"/>
        <v>0</v>
      </c>
      <c r="AC63" s="25">
        <f t="shared" si="28"/>
        <v>0</v>
      </c>
      <c r="AD63" s="82">
        <f t="shared" si="29"/>
        <v>0</v>
      </c>
    </row>
    <row r="64" spans="1:30" x14ac:dyDescent="0.25">
      <c r="A64" s="75"/>
      <c r="B64" s="70">
        <v>36</v>
      </c>
      <c r="C64" s="70">
        <v>5</v>
      </c>
      <c r="D64" s="57">
        <v>279</v>
      </c>
      <c r="E64" s="103">
        <f t="shared" si="33"/>
        <v>0.28947368421052633</v>
      </c>
      <c r="F64" s="77" t="str">
        <f t="shared" si="11"/>
        <v/>
      </c>
      <c r="G64" s="78" t="str">
        <f t="shared" si="12"/>
        <v/>
      </c>
      <c r="H64" s="78" t="str">
        <f t="shared" si="13"/>
        <v/>
      </c>
      <c r="I64" s="78" t="str">
        <f t="shared" si="14"/>
        <v/>
      </c>
      <c r="J64" s="79" t="str">
        <f t="shared" si="15"/>
        <v/>
      </c>
      <c r="K64" s="77" t="str">
        <f t="shared" si="16"/>
        <v/>
      </c>
      <c r="L64" s="80" t="str">
        <f t="shared" si="17"/>
        <v/>
      </c>
      <c r="M64" s="78" t="str">
        <f t="shared" si="18"/>
        <v/>
      </c>
      <c r="N64" s="79" t="str">
        <f t="shared" si="31"/>
        <v/>
      </c>
      <c r="O64" s="77" t="str">
        <f t="shared" si="19"/>
        <v/>
      </c>
      <c r="P64" s="78" t="str">
        <f t="shared" si="20"/>
        <v/>
      </c>
      <c r="Q64" s="79" t="str">
        <f t="shared" si="21"/>
        <v/>
      </c>
      <c r="R64" s="81"/>
      <c r="S64" s="22"/>
      <c r="T64" s="22"/>
      <c r="V64" s="25">
        <f t="shared" si="9"/>
        <v>0</v>
      </c>
      <c r="W64" s="25">
        <f t="shared" si="34"/>
        <v>2</v>
      </c>
      <c r="X64" s="25">
        <f t="shared" si="23"/>
        <v>7</v>
      </c>
      <c r="Y64" s="25">
        <f t="shared" si="24"/>
        <v>0</v>
      </c>
      <c r="Z64" s="82">
        <f t="shared" si="25"/>
        <v>0</v>
      </c>
      <c r="AA64" s="25">
        <f t="shared" si="26"/>
        <v>0</v>
      </c>
      <c r="AB64" s="82">
        <f t="shared" si="27"/>
        <v>0</v>
      </c>
      <c r="AC64" s="25">
        <f t="shared" si="28"/>
        <v>0</v>
      </c>
      <c r="AD64" s="82">
        <f t="shared" si="29"/>
        <v>0</v>
      </c>
    </row>
    <row r="65" spans="1:30" x14ac:dyDescent="0.25">
      <c r="A65" s="75"/>
      <c r="B65" s="70">
        <v>37</v>
      </c>
      <c r="C65" s="70">
        <v>6</v>
      </c>
      <c r="D65" s="57">
        <v>229</v>
      </c>
      <c r="E65" s="103">
        <f t="shared" si="33"/>
        <v>0.26315789473684209</v>
      </c>
      <c r="F65" s="77" t="str">
        <f t="shared" si="11"/>
        <v/>
      </c>
      <c r="G65" s="78" t="str">
        <f t="shared" si="12"/>
        <v/>
      </c>
      <c r="H65" s="78" t="str">
        <f t="shared" si="13"/>
        <v/>
      </c>
      <c r="I65" s="78" t="str">
        <f t="shared" si="14"/>
        <v/>
      </c>
      <c r="J65" s="79" t="str">
        <f t="shared" si="15"/>
        <v/>
      </c>
      <c r="K65" s="77" t="str">
        <f t="shared" si="16"/>
        <v/>
      </c>
      <c r="L65" s="80" t="str">
        <f t="shared" si="17"/>
        <v/>
      </c>
      <c r="M65" s="78" t="str">
        <f t="shared" si="18"/>
        <v/>
      </c>
      <c r="N65" s="79" t="str">
        <f t="shared" si="31"/>
        <v/>
      </c>
      <c r="O65" s="77" t="str">
        <f t="shared" si="19"/>
        <v/>
      </c>
      <c r="P65" s="78" t="str">
        <f t="shared" si="20"/>
        <v/>
      </c>
      <c r="Q65" s="79" t="str">
        <f t="shared" si="21"/>
        <v/>
      </c>
      <c r="R65" s="81"/>
      <c r="S65" s="22"/>
      <c r="T65" s="22"/>
      <c r="V65" s="25">
        <f t="shared" si="9"/>
        <v>0</v>
      </c>
      <c r="W65" s="25">
        <f t="shared" si="34"/>
        <v>2</v>
      </c>
      <c r="X65" s="25">
        <f t="shared" si="23"/>
        <v>7</v>
      </c>
      <c r="Y65" s="25">
        <f t="shared" si="24"/>
        <v>0</v>
      </c>
      <c r="Z65" s="82">
        <f t="shared" si="25"/>
        <v>0</v>
      </c>
      <c r="AA65" s="25">
        <f t="shared" si="26"/>
        <v>0</v>
      </c>
      <c r="AB65" s="82">
        <f t="shared" si="27"/>
        <v>0</v>
      </c>
      <c r="AC65" s="25">
        <f t="shared" si="28"/>
        <v>0</v>
      </c>
      <c r="AD65" s="82">
        <f t="shared" si="29"/>
        <v>0</v>
      </c>
    </row>
    <row r="66" spans="1:30" x14ac:dyDescent="0.25">
      <c r="A66" s="75" t="s">
        <v>44</v>
      </c>
      <c r="B66" s="70">
        <v>38</v>
      </c>
      <c r="C66" s="70">
        <v>7</v>
      </c>
      <c r="D66" s="57">
        <v>269</v>
      </c>
      <c r="E66" s="103">
        <f t="shared" si="33"/>
        <v>0.23684210526315788</v>
      </c>
      <c r="F66" s="77" t="str">
        <f t="shared" si="11"/>
        <v/>
      </c>
      <c r="G66" s="78" t="str">
        <f t="shared" si="12"/>
        <v/>
      </c>
      <c r="H66" s="78" t="str">
        <f t="shared" si="13"/>
        <v/>
      </c>
      <c r="I66" s="78" t="str">
        <f t="shared" si="14"/>
        <v/>
      </c>
      <c r="J66" s="79" t="str">
        <f t="shared" si="15"/>
        <v/>
      </c>
      <c r="K66" s="77" t="str">
        <f t="shared" si="16"/>
        <v/>
      </c>
      <c r="L66" s="80" t="str">
        <f t="shared" si="17"/>
        <v/>
      </c>
      <c r="M66" s="78" t="str">
        <f t="shared" si="18"/>
        <v/>
      </c>
      <c r="N66" s="79" t="str">
        <f t="shared" si="31"/>
        <v/>
      </c>
      <c r="O66" s="77" t="str">
        <f t="shared" si="19"/>
        <v/>
      </c>
      <c r="P66" s="78" t="str">
        <f t="shared" si="20"/>
        <v/>
      </c>
      <c r="Q66" s="79" t="str">
        <f t="shared" si="21"/>
        <v/>
      </c>
      <c r="R66" s="81"/>
      <c r="S66" s="22"/>
      <c r="T66" s="22"/>
      <c r="V66" s="25">
        <f t="shared" si="9"/>
        <v>1</v>
      </c>
      <c r="W66" s="25">
        <f t="shared" si="34"/>
        <v>7</v>
      </c>
      <c r="X66" s="25">
        <f t="shared" si="23"/>
        <v>7</v>
      </c>
      <c r="Y66" s="25">
        <f t="shared" si="24"/>
        <v>0</v>
      </c>
      <c r="Z66" s="82">
        <f t="shared" si="25"/>
        <v>0</v>
      </c>
      <c r="AA66" s="25">
        <f t="shared" si="26"/>
        <v>0</v>
      </c>
      <c r="AB66" s="82">
        <f t="shared" si="27"/>
        <v>0</v>
      </c>
      <c r="AC66" s="25">
        <f t="shared" si="28"/>
        <v>0</v>
      </c>
      <c r="AD66" s="82">
        <f t="shared" si="29"/>
        <v>0</v>
      </c>
    </row>
    <row r="67" spans="1:30" x14ac:dyDescent="0.25">
      <c r="A67" s="75"/>
      <c r="B67" s="70">
        <v>39</v>
      </c>
      <c r="C67" s="70">
        <v>8</v>
      </c>
      <c r="D67" s="57">
        <v>233</v>
      </c>
      <c r="E67" s="103">
        <f t="shared" si="33"/>
        <v>0.21052631578947367</v>
      </c>
      <c r="F67" s="77" t="str">
        <f t="shared" si="11"/>
        <v/>
      </c>
      <c r="G67" s="78" t="str">
        <f t="shared" si="12"/>
        <v/>
      </c>
      <c r="H67" s="78" t="str">
        <f t="shared" si="13"/>
        <v/>
      </c>
      <c r="I67" s="78" t="str">
        <f t="shared" si="14"/>
        <v/>
      </c>
      <c r="J67" s="79" t="str">
        <f t="shared" si="15"/>
        <v/>
      </c>
      <c r="K67" s="77" t="str">
        <f t="shared" si="16"/>
        <v/>
      </c>
      <c r="L67" s="80" t="str">
        <f t="shared" si="17"/>
        <v/>
      </c>
      <c r="M67" s="78" t="str">
        <f t="shared" si="18"/>
        <v/>
      </c>
      <c r="N67" s="79" t="str">
        <f t="shared" si="31"/>
        <v/>
      </c>
      <c r="O67" s="77" t="str">
        <f t="shared" si="19"/>
        <v/>
      </c>
      <c r="P67" s="78" t="str">
        <f t="shared" si="20"/>
        <v/>
      </c>
      <c r="Q67" s="79" t="str">
        <f t="shared" si="21"/>
        <v/>
      </c>
      <c r="R67" s="81"/>
      <c r="S67" s="22"/>
      <c r="T67" s="22"/>
      <c r="V67" s="25">
        <f t="shared" si="9"/>
        <v>0</v>
      </c>
      <c r="W67" s="25">
        <f t="shared" si="34"/>
        <v>7</v>
      </c>
      <c r="X67" s="25">
        <f t="shared" si="23"/>
        <v>12</v>
      </c>
      <c r="Y67" s="25">
        <f t="shared" si="24"/>
        <v>0</v>
      </c>
      <c r="Z67" s="82">
        <f t="shared" si="25"/>
        <v>0</v>
      </c>
      <c r="AA67" s="25">
        <f t="shared" si="26"/>
        <v>0</v>
      </c>
      <c r="AB67" s="82">
        <f t="shared" si="27"/>
        <v>0</v>
      </c>
      <c r="AC67" s="25">
        <f t="shared" si="28"/>
        <v>0</v>
      </c>
      <c r="AD67" s="82">
        <f t="shared" si="29"/>
        <v>0</v>
      </c>
    </row>
    <row r="68" spans="1:30" x14ac:dyDescent="0.25">
      <c r="A68" s="75"/>
      <c r="B68" s="70">
        <v>40</v>
      </c>
      <c r="C68" s="70">
        <v>9</v>
      </c>
      <c r="D68" s="57">
        <v>230</v>
      </c>
      <c r="E68" s="103">
        <f t="shared" si="33"/>
        <v>0.18421052631578946</v>
      </c>
      <c r="F68" s="77" t="str">
        <f t="shared" si="11"/>
        <v/>
      </c>
      <c r="G68" s="78" t="str">
        <f t="shared" si="12"/>
        <v/>
      </c>
      <c r="H68" s="78" t="str">
        <f t="shared" si="13"/>
        <v/>
      </c>
      <c r="I68" s="78" t="str">
        <f t="shared" si="14"/>
        <v/>
      </c>
      <c r="J68" s="79" t="str">
        <f t="shared" si="15"/>
        <v/>
      </c>
      <c r="K68" s="77" t="str">
        <f t="shared" si="16"/>
        <v/>
      </c>
      <c r="L68" s="80" t="str">
        <f t="shared" si="17"/>
        <v/>
      </c>
      <c r="M68" s="78" t="str">
        <f t="shared" si="18"/>
        <v/>
      </c>
      <c r="N68" s="79" t="str">
        <f t="shared" si="31"/>
        <v/>
      </c>
      <c r="O68" s="77" t="str">
        <f t="shared" si="19"/>
        <v/>
      </c>
      <c r="P68" s="78" t="str">
        <f t="shared" si="20"/>
        <v/>
      </c>
      <c r="Q68" s="79" t="str">
        <f t="shared" si="21"/>
        <v/>
      </c>
      <c r="R68" s="81"/>
      <c r="S68" s="22"/>
      <c r="T68" s="22"/>
      <c r="V68" s="25">
        <f t="shared" si="9"/>
        <v>0</v>
      </c>
      <c r="W68" s="25">
        <f t="shared" si="34"/>
        <v>7</v>
      </c>
      <c r="X68" s="25">
        <f t="shared" si="23"/>
        <v>12</v>
      </c>
      <c r="Y68" s="25">
        <f t="shared" si="24"/>
        <v>0</v>
      </c>
      <c r="Z68" s="82">
        <f t="shared" si="25"/>
        <v>0</v>
      </c>
      <c r="AA68" s="25">
        <f t="shared" si="26"/>
        <v>0</v>
      </c>
      <c r="AB68" s="82">
        <f t="shared" si="27"/>
        <v>0</v>
      </c>
      <c r="AC68" s="25">
        <f t="shared" si="28"/>
        <v>0</v>
      </c>
      <c r="AD68" s="82">
        <f t="shared" si="29"/>
        <v>0</v>
      </c>
    </row>
    <row r="69" spans="1:30" x14ac:dyDescent="0.25">
      <c r="A69" s="75"/>
      <c r="B69" s="70">
        <v>41</v>
      </c>
      <c r="C69" s="70">
        <v>10</v>
      </c>
      <c r="D69" s="57">
        <v>243</v>
      </c>
      <c r="E69" s="103">
        <f t="shared" si="33"/>
        <v>0.15789473684210525</v>
      </c>
      <c r="F69" s="77" t="str">
        <f t="shared" si="11"/>
        <v/>
      </c>
      <c r="G69" s="78" t="str">
        <f t="shared" si="12"/>
        <v/>
      </c>
      <c r="H69" s="78" t="str">
        <f t="shared" si="13"/>
        <v/>
      </c>
      <c r="I69" s="78" t="str">
        <f t="shared" si="14"/>
        <v/>
      </c>
      <c r="J69" s="79" t="str">
        <f t="shared" si="15"/>
        <v/>
      </c>
      <c r="K69" s="77" t="str">
        <f t="shared" si="16"/>
        <v/>
      </c>
      <c r="L69" s="80" t="str">
        <f t="shared" si="17"/>
        <v/>
      </c>
      <c r="M69" s="78" t="str">
        <f t="shared" si="18"/>
        <v/>
      </c>
      <c r="N69" s="79" t="str">
        <f t="shared" si="31"/>
        <v/>
      </c>
      <c r="O69" s="77" t="str">
        <f t="shared" si="19"/>
        <v/>
      </c>
      <c r="P69" s="78" t="str">
        <f t="shared" si="20"/>
        <v/>
      </c>
      <c r="Q69" s="79" t="str">
        <f t="shared" si="21"/>
        <v/>
      </c>
      <c r="R69" s="81"/>
      <c r="S69" s="22"/>
      <c r="T69" s="22"/>
      <c r="V69" s="25">
        <f t="shared" si="9"/>
        <v>0</v>
      </c>
      <c r="W69" s="25">
        <f t="shared" si="34"/>
        <v>7</v>
      </c>
      <c r="X69" s="25">
        <f t="shared" si="23"/>
        <v>12</v>
      </c>
      <c r="Y69" s="25">
        <f t="shared" si="24"/>
        <v>0</v>
      </c>
      <c r="Z69" s="82">
        <f t="shared" si="25"/>
        <v>0</v>
      </c>
      <c r="AA69" s="25">
        <f t="shared" si="26"/>
        <v>0</v>
      </c>
      <c r="AB69" s="82">
        <f t="shared" si="27"/>
        <v>0</v>
      </c>
      <c r="AC69" s="25">
        <f t="shared" si="28"/>
        <v>0</v>
      </c>
      <c r="AD69" s="82">
        <f t="shared" si="29"/>
        <v>0</v>
      </c>
    </row>
    <row r="70" spans="1:30" x14ac:dyDescent="0.25">
      <c r="A70" s="75"/>
      <c r="B70" s="70">
        <v>42</v>
      </c>
      <c r="C70" s="70">
        <v>11</v>
      </c>
      <c r="D70" s="57">
        <v>191</v>
      </c>
      <c r="E70" s="103">
        <f t="shared" si="33"/>
        <v>0.13157894736842105</v>
      </c>
      <c r="F70" s="77" t="str">
        <f t="shared" si="11"/>
        <v/>
      </c>
      <c r="G70" s="78" t="str">
        <f t="shared" si="12"/>
        <v/>
      </c>
      <c r="H70" s="78" t="str">
        <f t="shared" si="13"/>
        <v/>
      </c>
      <c r="I70" s="78" t="str">
        <f t="shared" si="14"/>
        <v/>
      </c>
      <c r="J70" s="79" t="str">
        <f t="shared" si="15"/>
        <v/>
      </c>
      <c r="K70" s="77" t="str">
        <f t="shared" si="16"/>
        <v/>
      </c>
      <c r="L70" s="80" t="str">
        <f t="shared" si="17"/>
        <v/>
      </c>
      <c r="M70" s="78" t="str">
        <f t="shared" si="18"/>
        <v/>
      </c>
      <c r="N70" s="79" t="str">
        <f t="shared" si="31"/>
        <v/>
      </c>
      <c r="O70" s="77" t="str">
        <f t="shared" si="19"/>
        <v/>
      </c>
      <c r="P70" s="78" t="str">
        <f t="shared" si="20"/>
        <v/>
      </c>
      <c r="Q70" s="79" t="str">
        <f t="shared" si="21"/>
        <v/>
      </c>
      <c r="R70" s="81"/>
      <c r="S70" s="22"/>
      <c r="T70" s="22"/>
      <c r="V70" s="25">
        <f t="shared" si="9"/>
        <v>0</v>
      </c>
      <c r="W70" s="25">
        <f t="shared" si="34"/>
        <v>7</v>
      </c>
      <c r="X70" s="25">
        <f t="shared" si="23"/>
        <v>12</v>
      </c>
      <c r="Y70" s="25">
        <f t="shared" si="24"/>
        <v>0</v>
      </c>
      <c r="Z70" s="82">
        <f t="shared" si="25"/>
        <v>0</v>
      </c>
      <c r="AA70" s="25">
        <f t="shared" si="26"/>
        <v>0</v>
      </c>
      <c r="AB70" s="82">
        <f t="shared" si="27"/>
        <v>0</v>
      </c>
      <c r="AC70" s="25">
        <f t="shared" si="28"/>
        <v>0</v>
      </c>
      <c r="AD70" s="82">
        <f t="shared" si="29"/>
        <v>0</v>
      </c>
    </row>
    <row r="71" spans="1:30" x14ac:dyDescent="0.25">
      <c r="A71" s="75" t="s">
        <v>45</v>
      </c>
      <c r="B71" s="70">
        <v>43</v>
      </c>
      <c r="C71" s="70">
        <v>12</v>
      </c>
      <c r="D71" s="57">
        <v>146</v>
      </c>
      <c r="E71" s="103">
        <f t="shared" si="33"/>
        <v>0.10526315789473684</v>
      </c>
      <c r="F71" s="77" t="str">
        <f t="shared" si="11"/>
        <v/>
      </c>
      <c r="G71" s="78" t="str">
        <f t="shared" si="12"/>
        <v/>
      </c>
      <c r="H71" s="78" t="str">
        <f t="shared" si="13"/>
        <v/>
      </c>
      <c r="I71" s="78" t="str">
        <f t="shared" si="14"/>
        <v/>
      </c>
      <c r="J71" s="79" t="str">
        <f t="shared" si="15"/>
        <v/>
      </c>
      <c r="K71" s="77" t="str">
        <f t="shared" si="16"/>
        <v/>
      </c>
      <c r="L71" s="80" t="str">
        <f t="shared" si="17"/>
        <v/>
      </c>
      <c r="M71" s="78" t="str">
        <f t="shared" si="18"/>
        <v/>
      </c>
      <c r="N71" s="79" t="str">
        <f t="shared" si="31"/>
        <v/>
      </c>
      <c r="O71" s="77" t="str">
        <f t="shared" si="19"/>
        <v/>
      </c>
      <c r="P71" s="78" t="str">
        <f t="shared" si="20"/>
        <v/>
      </c>
      <c r="Q71" s="79" t="str">
        <f t="shared" si="21"/>
        <v/>
      </c>
      <c r="R71" s="81"/>
      <c r="S71" s="22"/>
      <c r="T71" s="22"/>
      <c r="V71" s="25">
        <f t="shared" si="9"/>
        <v>1</v>
      </c>
      <c r="W71" s="25">
        <f t="shared" si="34"/>
        <v>12</v>
      </c>
      <c r="X71" s="25">
        <f t="shared" si="23"/>
        <v>12</v>
      </c>
      <c r="Y71" s="25">
        <f t="shared" si="24"/>
        <v>0</v>
      </c>
      <c r="Z71" s="82">
        <f t="shared" si="25"/>
        <v>0</v>
      </c>
      <c r="AA71" s="25">
        <f t="shared" si="26"/>
        <v>0</v>
      </c>
      <c r="AB71" s="82">
        <f t="shared" si="27"/>
        <v>0</v>
      </c>
      <c r="AC71" s="25">
        <f t="shared" si="28"/>
        <v>0</v>
      </c>
      <c r="AD71" s="82">
        <f t="shared" si="29"/>
        <v>0</v>
      </c>
    </row>
    <row r="72" spans="1:30" x14ac:dyDescent="0.25">
      <c r="A72" s="75"/>
      <c r="B72" s="70">
        <v>44</v>
      </c>
      <c r="C72" s="70">
        <v>13</v>
      </c>
      <c r="D72" s="57">
        <v>150</v>
      </c>
      <c r="E72" s="103">
        <f t="shared" si="33"/>
        <v>7.8947368421052627E-2</v>
      </c>
      <c r="F72" s="77" t="str">
        <f t="shared" si="11"/>
        <v/>
      </c>
      <c r="G72" s="78" t="str">
        <f t="shared" si="12"/>
        <v/>
      </c>
      <c r="H72" s="78" t="str">
        <f t="shared" si="13"/>
        <v/>
      </c>
      <c r="I72" s="78" t="str">
        <f t="shared" si="14"/>
        <v/>
      </c>
      <c r="J72" s="79" t="str">
        <f t="shared" si="15"/>
        <v/>
      </c>
      <c r="K72" s="77" t="str">
        <f t="shared" si="16"/>
        <v/>
      </c>
      <c r="L72" s="80" t="str">
        <f t="shared" si="17"/>
        <v/>
      </c>
      <c r="M72" s="78" t="str">
        <f t="shared" si="18"/>
        <v/>
      </c>
      <c r="N72" s="79" t="str">
        <f t="shared" si="31"/>
        <v/>
      </c>
      <c r="O72" s="77" t="str">
        <f t="shared" si="19"/>
        <v/>
      </c>
      <c r="P72" s="78" t="str">
        <f t="shared" si="20"/>
        <v/>
      </c>
      <c r="Q72" s="79" t="str">
        <f t="shared" si="21"/>
        <v/>
      </c>
      <c r="R72" s="81"/>
      <c r="S72" s="22"/>
      <c r="T72" s="22"/>
      <c r="V72" s="25">
        <f t="shared" si="9"/>
        <v>0</v>
      </c>
      <c r="W72" s="25">
        <v>7</v>
      </c>
      <c r="X72" s="25">
        <f t="shared" si="23"/>
        <v>12</v>
      </c>
      <c r="Y72" s="25">
        <f t="shared" si="24"/>
        <v>0</v>
      </c>
      <c r="Z72" s="82">
        <f t="shared" si="25"/>
        <v>0</v>
      </c>
      <c r="AA72" s="25">
        <f t="shared" si="26"/>
        <v>0</v>
      </c>
      <c r="AB72" s="82">
        <f t="shared" si="27"/>
        <v>0</v>
      </c>
      <c r="AC72" s="25">
        <f t="shared" si="28"/>
        <v>0</v>
      </c>
      <c r="AD72" s="82">
        <f t="shared" si="29"/>
        <v>0</v>
      </c>
    </row>
    <row r="73" spans="1:30" x14ac:dyDescent="0.25">
      <c r="A73" s="75"/>
      <c r="B73" s="70">
        <v>45</v>
      </c>
      <c r="C73" s="70">
        <v>14</v>
      </c>
      <c r="D73" s="57">
        <v>97</v>
      </c>
      <c r="E73" s="103">
        <f t="shared" si="33"/>
        <v>5.2631578947368418E-2</v>
      </c>
      <c r="F73" s="77" t="str">
        <f t="shared" si="11"/>
        <v/>
      </c>
      <c r="G73" s="78" t="str">
        <f t="shared" si="12"/>
        <v/>
      </c>
      <c r="H73" s="78" t="str">
        <f t="shared" si="13"/>
        <v/>
      </c>
      <c r="I73" s="78" t="str">
        <f t="shared" si="14"/>
        <v/>
      </c>
      <c r="J73" s="79" t="str">
        <f t="shared" si="15"/>
        <v/>
      </c>
      <c r="K73" s="77" t="str">
        <f t="shared" si="16"/>
        <v/>
      </c>
      <c r="L73" s="80" t="str">
        <f t="shared" si="17"/>
        <v/>
      </c>
      <c r="M73" s="78" t="str">
        <f t="shared" si="18"/>
        <v/>
      </c>
      <c r="N73" s="79" t="str">
        <f t="shared" si="31"/>
        <v/>
      </c>
      <c r="O73" s="77" t="str">
        <f t="shared" si="19"/>
        <v/>
      </c>
      <c r="P73" s="78" t="str">
        <f t="shared" si="20"/>
        <v/>
      </c>
      <c r="Q73" s="79" t="str">
        <f t="shared" si="21"/>
        <v/>
      </c>
      <c r="R73" s="81"/>
      <c r="S73" s="22"/>
      <c r="T73" s="22"/>
      <c r="V73" s="25">
        <f t="shared" si="9"/>
        <v>0</v>
      </c>
      <c r="W73" s="25">
        <f>IF(V73=0,W72,C73)</f>
        <v>7</v>
      </c>
      <c r="X73" s="25">
        <f t="shared" si="23"/>
        <v>12</v>
      </c>
      <c r="Y73" s="25">
        <f t="shared" si="24"/>
        <v>0</v>
      </c>
      <c r="Z73" s="82">
        <f t="shared" si="25"/>
        <v>0</v>
      </c>
      <c r="AA73" s="25">
        <f t="shared" si="26"/>
        <v>0</v>
      </c>
      <c r="AB73" s="82">
        <f t="shared" si="27"/>
        <v>0</v>
      </c>
      <c r="AC73" s="25">
        <f t="shared" si="28"/>
        <v>0</v>
      </c>
      <c r="AD73" s="82">
        <f t="shared" si="29"/>
        <v>0</v>
      </c>
    </row>
    <row r="74" spans="1:30" ht="18.75" thickBot="1" x14ac:dyDescent="0.3">
      <c r="A74" s="83"/>
      <c r="B74" s="84">
        <v>46</v>
      </c>
      <c r="C74" s="84">
        <v>15</v>
      </c>
      <c r="D74" s="104">
        <v>61</v>
      </c>
      <c r="E74" s="105">
        <f t="shared" si="33"/>
        <v>2.6315789473684209E-2</v>
      </c>
      <c r="F74" s="86" t="str">
        <f t="shared" si="11"/>
        <v/>
      </c>
      <c r="G74" s="87" t="str">
        <f t="shared" si="12"/>
        <v/>
      </c>
      <c r="H74" s="87" t="str">
        <f t="shared" si="13"/>
        <v/>
      </c>
      <c r="I74" s="87" t="str">
        <f t="shared" si="14"/>
        <v/>
      </c>
      <c r="J74" s="88" t="str">
        <f t="shared" si="15"/>
        <v/>
      </c>
      <c r="K74" s="86" t="str">
        <f t="shared" si="16"/>
        <v/>
      </c>
      <c r="L74" s="89" t="str">
        <f t="shared" si="17"/>
        <v/>
      </c>
      <c r="M74" s="87" t="str">
        <f t="shared" si="18"/>
        <v/>
      </c>
      <c r="N74" s="88" t="str">
        <f t="shared" si="31"/>
        <v/>
      </c>
      <c r="O74" s="86" t="str">
        <f t="shared" si="19"/>
        <v/>
      </c>
      <c r="P74" s="87" t="str">
        <f t="shared" si="20"/>
        <v/>
      </c>
      <c r="Q74" s="88" t="str">
        <f t="shared" si="21"/>
        <v/>
      </c>
      <c r="R74" s="81"/>
      <c r="S74" s="22"/>
      <c r="T74" s="22"/>
      <c r="V74" s="25">
        <f t="shared" si="9"/>
        <v>0</v>
      </c>
      <c r="W74" s="25">
        <f>IF(V74=0,W73,C74)</f>
        <v>7</v>
      </c>
      <c r="X74" s="25">
        <v>12</v>
      </c>
      <c r="Y74" s="25">
        <f t="shared" si="24"/>
        <v>0</v>
      </c>
      <c r="Z74" s="82">
        <f t="shared" si="25"/>
        <v>0</v>
      </c>
      <c r="AA74" s="25">
        <f t="shared" si="26"/>
        <v>0</v>
      </c>
      <c r="AB74" s="82">
        <f t="shared" si="27"/>
        <v>0</v>
      </c>
      <c r="AC74" s="25">
        <f t="shared" si="28"/>
        <v>0</v>
      </c>
      <c r="AD74" s="82">
        <f t="shared" si="29"/>
        <v>0</v>
      </c>
    </row>
    <row r="75" spans="1:30" x14ac:dyDescent="0.25">
      <c r="A75" s="46"/>
      <c r="B75" s="46"/>
      <c r="C75" s="46"/>
      <c r="D75" s="90">
        <f>SUM(D37:D74)</f>
        <v>6446</v>
      </c>
      <c r="E75" s="90"/>
      <c r="F75" s="90"/>
      <c r="G75" s="91"/>
      <c r="H75" s="92"/>
      <c r="I75" s="90"/>
      <c r="J75" s="91"/>
      <c r="K75" s="91">
        <f>SUM(K49:K74)</f>
        <v>0</v>
      </c>
      <c r="L75" s="91">
        <f>SUM(L49:L74)</f>
        <v>0</v>
      </c>
      <c r="M75" s="91">
        <f>SUM(M49:M74)</f>
        <v>0</v>
      </c>
      <c r="N75" s="91">
        <f>SUM(N49:N74)</f>
        <v>0</v>
      </c>
      <c r="O75" s="91">
        <f>SUM(O49:O74)</f>
        <v>0</v>
      </c>
      <c r="P75" s="91">
        <f t="shared" ref="P75:Q75" si="35">SUM(P49:P74)</f>
        <v>0</v>
      </c>
      <c r="Q75" s="91">
        <f t="shared" si="35"/>
        <v>0</v>
      </c>
      <c r="R75" s="22"/>
      <c r="S75" s="22"/>
      <c r="T75" s="22"/>
    </row>
    <row r="76" spans="1:30" x14ac:dyDescent="0.25">
      <c r="A76" s="46"/>
      <c r="B76" s="46"/>
      <c r="C76" s="46"/>
      <c r="D76" s="46"/>
      <c r="E76" s="46"/>
      <c r="F76" s="46"/>
      <c r="G76" s="46"/>
      <c r="H76" s="46"/>
      <c r="I76" s="46"/>
      <c r="J76" s="46"/>
      <c r="K76" s="46"/>
      <c r="L76" s="46"/>
      <c r="M76" s="46"/>
      <c r="N76" s="46"/>
      <c r="O76" s="46"/>
      <c r="P76" s="46"/>
      <c r="Q76" s="22"/>
      <c r="R76" s="22"/>
      <c r="S76" s="22"/>
      <c r="T76" s="22"/>
    </row>
    <row r="77" spans="1:30" x14ac:dyDescent="0.25">
      <c r="A77" s="21"/>
      <c r="B77" s="21"/>
      <c r="C77" s="21"/>
      <c r="D77" s="21"/>
      <c r="E77" s="21"/>
      <c r="F77" s="21"/>
      <c r="G77" s="21"/>
      <c r="H77" s="21"/>
      <c r="I77" s="21"/>
      <c r="J77" s="21"/>
      <c r="K77" s="21"/>
      <c r="L77" s="46"/>
      <c r="M77" s="46"/>
      <c r="N77" s="46"/>
      <c r="O77" s="46"/>
      <c r="P77" s="46"/>
      <c r="Q77" s="22"/>
      <c r="R77" s="22"/>
      <c r="S77" s="22"/>
      <c r="T77" s="22"/>
    </row>
    <row r="78" spans="1:30" x14ac:dyDescent="0.25">
      <c r="A78" s="21"/>
      <c r="B78" s="21"/>
      <c r="C78" s="21"/>
      <c r="D78" s="21"/>
      <c r="E78" s="21"/>
      <c r="F78" s="21"/>
      <c r="G78" s="21"/>
      <c r="H78" s="21"/>
      <c r="I78" s="21"/>
      <c r="J78" s="21"/>
      <c r="K78" s="21"/>
      <c r="L78" s="46"/>
      <c r="M78" s="46"/>
      <c r="N78" s="46"/>
      <c r="O78" s="46"/>
      <c r="P78" s="46"/>
      <c r="Q78" s="22"/>
      <c r="R78" s="22"/>
      <c r="S78" s="22"/>
      <c r="T78" s="22"/>
    </row>
    <row r="79" spans="1:30" x14ac:dyDescent="0.25">
      <c r="A79" s="21"/>
      <c r="B79" s="21"/>
      <c r="C79" s="21"/>
      <c r="D79" s="21"/>
      <c r="E79" s="21"/>
      <c r="F79" s="21"/>
      <c r="G79" s="21"/>
      <c r="H79" s="21"/>
      <c r="I79" s="21"/>
      <c r="J79" s="21"/>
      <c r="K79" s="21"/>
      <c r="L79" s="46"/>
      <c r="M79" s="46"/>
      <c r="N79" s="46"/>
      <c r="O79" s="46"/>
      <c r="P79" s="46"/>
      <c r="Q79" s="22"/>
      <c r="R79" s="22"/>
      <c r="S79" s="22"/>
      <c r="T79" s="22"/>
    </row>
    <row r="80" spans="1:30" x14ac:dyDescent="0.25">
      <c r="A80" s="21"/>
      <c r="B80" s="21"/>
      <c r="C80" s="21"/>
      <c r="D80" s="21"/>
      <c r="E80" s="21"/>
      <c r="F80" s="21"/>
      <c r="G80" s="21"/>
      <c r="H80" s="21"/>
      <c r="I80" s="21"/>
      <c r="J80" s="21"/>
      <c r="K80" s="21"/>
      <c r="L80" s="46"/>
      <c r="M80" s="46"/>
      <c r="N80" s="46"/>
      <c r="O80" s="46"/>
      <c r="P80" s="46"/>
      <c r="Q80" s="22"/>
      <c r="R80" s="22"/>
      <c r="S80" s="22"/>
      <c r="T80" s="22"/>
    </row>
    <row r="81" spans="1:55" x14ac:dyDescent="0.25">
      <c r="A81" s="21"/>
      <c r="B81" s="21"/>
      <c r="C81" s="21"/>
      <c r="D81" s="21"/>
      <c r="E81" s="21"/>
      <c r="F81" s="21"/>
      <c r="G81" s="21"/>
      <c r="H81" s="21"/>
      <c r="I81" s="21"/>
      <c r="J81" s="21"/>
      <c r="K81" s="21"/>
      <c r="L81" s="46"/>
      <c r="M81" s="46"/>
      <c r="N81" s="46"/>
      <c r="O81" s="46"/>
      <c r="P81" s="46"/>
      <c r="Q81" s="22"/>
      <c r="R81" s="22"/>
      <c r="S81" s="22"/>
      <c r="T81" s="22"/>
    </row>
    <row r="82" spans="1:55" x14ac:dyDescent="0.25">
      <c r="A82" s="21"/>
      <c r="B82" s="21"/>
      <c r="C82" s="21"/>
      <c r="D82" s="21"/>
      <c r="E82" s="21"/>
      <c r="F82" s="21"/>
      <c r="G82" s="21"/>
      <c r="H82" s="21"/>
      <c r="I82" s="21"/>
      <c r="J82" s="21"/>
      <c r="K82" s="21"/>
      <c r="L82" s="46"/>
      <c r="M82" s="46"/>
      <c r="N82" s="46"/>
      <c r="O82" s="46"/>
      <c r="P82" s="46"/>
      <c r="Q82" s="22"/>
      <c r="R82" s="22"/>
      <c r="S82" s="22"/>
      <c r="T82" s="22"/>
    </row>
    <row r="83" spans="1:55" s="27" customFormat="1" x14ac:dyDescent="0.25">
      <c r="A83" s="21"/>
      <c r="B83" s="21"/>
      <c r="C83" s="21"/>
      <c r="D83" s="93"/>
      <c r="E83" s="21"/>
      <c r="F83" s="21"/>
      <c r="G83" s="21"/>
      <c r="H83" s="21"/>
      <c r="I83" s="21"/>
      <c r="J83" s="21"/>
      <c r="K83" s="21"/>
      <c r="L83" s="46"/>
      <c r="M83" s="46"/>
      <c r="N83" s="46"/>
      <c r="O83" s="46"/>
      <c r="P83" s="46"/>
      <c r="Q83" s="22"/>
      <c r="R83" s="22"/>
      <c r="S83" s="21"/>
      <c r="T83" s="21"/>
      <c r="U83" s="146"/>
      <c r="V83" s="94"/>
      <c r="W83" s="94"/>
      <c r="X83" s="94"/>
      <c r="Y83" s="94"/>
      <c r="Z83" s="94"/>
      <c r="AA83" s="94"/>
      <c r="AB83" s="94"/>
      <c r="AC83" s="94"/>
      <c r="AD83" s="94"/>
      <c r="AE83" s="146"/>
      <c r="AF83" s="146"/>
      <c r="AG83" s="146"/>
      <c r="AH83" s="146"/>
      <c r="AI83" s="146"/>
      <c r="AJ83" s="146"/>
      <c r="AK83" s="146"/>
      <c r="AL83" s="146"/>
      <c r="AM83" s="146"/>
      <c r="AN83" s="146"/>
      <c r="AO83" s="146"/>
      <c r="AP83" s="146"/>
      <c r="AQ83" s="146"/>
      <c r="AR83" s="146"/>
      <c r="AS83" s="146"/>
      <c r="AT83" s="139"/>
      <c r="AU83" s="139"/>
      <c r="AV83" s="139"/>
      <c r="AW83" s="139"/>
      <c r="AX83" s="139"/>
      <c r="AY83" s="139"/>
      <c r="AZ83" s="139"/>
      <c r="BA83" s="139"/>
      <c r="BB83" s="139"/>
      <c r="BC83" s="139"/>
    </row>
    <row r="84" spans="1:55" s="27" customFormat="1" x14ac:dyDescent="0.25">
      <c r="D84" s="95"/>
      <c r="L84" s="38"/>
      <c r="M84" s="38"/>
      <c r="N84" s="38"/>
      <c r="O84" s="38"/>
      <c r="P84" s="38"/>
      <c r="Q84" s="24"/>
      <c r="R84" s="22"/>
      <c r="U84" s="146"/>
      <c r="V84" s="94"/>
      <c r="W84" s="94"/>
      <c r="X84" s="94"/>
      <c r="Y84" s="94"/>
      <c r="Z84" s="94"/>
      <c r="AA84" s="94"/>
      <c r="AB84" s="94"/>
      <c r="AC84" s="94"/>
      <c r="AD84" s="94"/>
      <c r="AE84" s="146"/>
      <c r="AF84" s="146"/>
      <c r="AG84" s="146"/>
      <c r="AH84" s="146"/>
      <c r="AI84" s="146"/>
      <c r="AJ84" s="146"/>
      <c r="AK84" s="146"/>
      <c r="AL84" s="146"/>
      <c r="AM84" s="146"/>
      <c r="AN84" s="146"/>
      <c r="AO84" s="146"/>
      <c r="AP84" s="146"/>
      <c r="AQ84" s="146"/>
      <c r="AR84" s="146"/>
      <c r="AS84" s="146"/>
      <c r="AT84" s="139"/>
      <c r="AU84" s="139"/>
      <c r="AV84" s="139"/>
      <c r="AW84" s="139"/>
      <c r="AX84" s="139"/>
      <c r="AY84" s="139"/>
      <c r="AZ84" s="139"/>
      <c r="BA84" s="139"/>
      <c r="BB84" s="139"/>
      <c r="BC84" s="139"/>
    </row>
    <row r="85" spans="1:55" s="27" customFormat="1" x14ac:dyDescent="0.25">
      <c r="D85" s="95"/>
      <c r="L85" s="38"/>
      <c r="M85" s="38"/>
      <c r="N85" s="38"/>
      <c r="O85" s="38"/>
      <c r="P85" s="38"/>
      <c r="Q85" s="24"/>
      <c r="R85" s="24"/>
      <c r="U85" s="146"/>
      <c r="V85" s="94"/>
      <c r="W85" s="94"/>
      <c r="X85" s="94"/>
      <c r="Y85" s="94"/>
      <c r="Z85" s="94"/>
      <c r="AA85" s="94"/>
      <c r="AB85" s="94"/>
      <c r="AC85" s="94"/>
      <c r="AD85" s="94"/>
      <c r="AE85" s="146"/>
      <c r="AF85" s="146"/>
      <c r="AG85" s="146"/>
      <c r="AH85" s="146"/>
      <c r="AI85" s="146"/>
      <c r="AJ85" s="146"/>
      <c r="AK85" s="146"/>
      <c r="AL85" s="146"/>
      <c r="AM85" s="146"/>
      <c r="AN85" s="146"/>
      <c r="AO85" s="146"/>
      <c r="AP85" s="146"/>
      <c r="AQ85" s="146"/>
      <c r="AR85" s="146"/>
      <c r="AS85" s="146"/>
      <c r="AT85" s="139"/>
      <c r="AU85" s="139"/>
      <c r="AV85" s="139"/>
      <c r="AW85" s="139"/>
      <c r="AX85" s="139"/>
      <c r="AY85" s="139"/>
      <c r="AZ85" s="139"/>
      <c r="BA85" s="139"/>
      <c r="BB85" s="139"/>
      <c r="BC85" s="139"/>
    </row>
    <row r="86" spans="1:55" s="27" customFormat="1" x14ac:dyDescent="0.25">
      <c r="D86" s="95"/>
      <c r="L86" s="38"/>
      <c r="M86" s="38"/>
      <c r="N86" s="38"/>
      <c r="O86" s="38"/>
      <c r="P86" s="38"/>
      <c r="Q86" s="24"/>
      <c r="R86" s="24"/>
      <c r="U86" s="146"/>
      <c r="V86" s="94"/>
      <c r="W86" s="94"/>
      <c r="X86" s="94"/>
      <c r="Y86" s="94"/>
      <c r="Z86" s="94"/>
      <c r="AA86" s="94"/>
      <c r="AB86" s="94"/>
      <c r="AC86" s="94"/>
      <c r="AD86" s="94"/>
      <c r="AE86" s="146"/>
      <c r="AF86" s="146"/>
      <c r="AG86" s="146"/>
      <c r="AH86" s="146"/>
      <c r="AI86" s="146"/>
      <c r="AJ86" s="146"/>
      <c r="AK86" s="146"/>
      <c r="AL86" s="146"/>
      <c r="AM86" s="146"/>
      <c r="AN86" s="146"/>
      <c r="AO86" s="146"/>
      <c r="AP86" s="146"/>
      <c r="AQ86" s="146"/>
      <c r="AR86" s="146"/>
      <c r="AS86" s="146"/>
      <c r="AT86" s="139"/>
      <c r="AU86" s="139"/>
      <c r="AV86" s="139"/>
      <c r="AW86" s="139"/>
      <c r="AX86" s="139"/>
      <c r="AY86" s="139"/>
      <c r="AZ86" s="139"/>
      <c r="BA86" s="139"/>
      <c r="BB86" s="139"/>
      <c r="BC86" s="139"/>
    </row>
  </sheetData>
  <sheetProtection algorithmName="SHA-512" hashValue="gBzlctS8QI9MI4WNoXODFLcviQQZ+Xf8yrPzOHFY1zXRT1JZVM1gyqVT8JJWScB9kobxCqqtJI0IqIsh8mwo2g==" saltValue="V7gy+5NQqPOvAgPJpImaTw==" spinCount="100000" sheet="1" objects="1" scenarios="1"/>
  <mergeCells count="14">
    <mergeCell ref="H2:K2"/>
    <mergeCell ref="M2:P2"/>
    <mergeCell ref="A3:B3"/>
    <mergeCell ref="D3:F3"/>
    <mergeCell ref="H3:K3"/>
    <mergeCell ref="M3:O3"/>
    <mergeCell ref="A33:Q33"/>
    <mergeCell ref="A34:A35"/>
    <mergeCell ref="G34:I34"/>
    <mergeCell ref="A15:H15"/>
    <mergeCell ref="K17:R17"/>
    <mergeCell ref="A25:I25"/>
    <mergeCell ref="K25:L25"/>
    <mergeCell ref="F26:I26"/>
  </mergeCells>
  <conditionalFormatting sqref="A36">
    <cfRule type="cellIs" dxfId="4" priority="12" operator="equal">
      <formula>"E"</formula>
    </cfRule>
  </conditionalFormatting>
  <conditionalFormatting sqref="A37:Q74">
    <cfRule type="expression" dxfId="3" priority="21">
      <formula>$V37=1</formula>
    </cfRule>
  </conditionalFormatting>
  <dataValidations count="7">
    <dataValidation type="list" allowBlank="1" showInputMessage="1" showErrorMessage="1" sqref="B12">
      <formula1>"GCV, NCV"</formula1>
    </dataValidation>
    <dataValidation type="list" allowBlank="1" showInputMessage="1" showErrorMessage="1" sqref="B9:B11">
      <formula1>"fixed,variable"</formula1>
    </dataValidation>
    <dataValidation type="list" allowBlank="1" showInputMessage="1" showErrorMessage="1" sqref="B8">
      <formula1>"35°C,55°C"</formula1>
    </dataValidation>
    <dataValidation type="list" allowBlank="1" showInputMessage="1" showErrorMessage="1" sqref="B7">
      <formula1>"heating only,reversible"</formula1>
    </dataValidation>
    <dataValidation type="list" allowBlank="1" showInputMessage="1" showErrorMessage="1" sqref="B6">
      <formula1>"outdoor air-to-water, water-to-water,brine-to-water,ground water-to-water,ground/brine-to-water, packages including solar"</formula1>
    </dataValidation>
    <dataValidation type="custom" allowBlank="1" showInputMessage="1" showErrorMessage="1" errorTitle="Bivalent temperature too high" error="Bivalent tempertaure higher than bivalent upper limit" sqref="E7">
      <formula1>E7&lt;=-7</formula1>
    </dataValidation>
    <dataValidation type="whole" operator="lessThanOrEqual" showInputMessage="1" showErrorMessage="1" errorTitle="TOL too high" error="TOL higher than bivalent temperature" sqref="E8">
      <formula1>E7</formula1>
    </dataValidation>
  </dataValidations>
  <pageMargins left="0.7" right="0.7" top="0.75" bottom="0.75" header="0.3" footer="0.3"/>
  <pageSetup paperSize="9" orientation="portrait" r:id="rId1"/>
  <ignoredErrors>
    <ignoredError sqref="E75:Q75 C21 C24:F24 E22 D32:L32 I17:J17 I22:R22 D29:G29 J29 D30:G30 J30 I23:R23 D31:G31 J31 C17 E17 C18 E18 C19 E19 C20 E20 I21:R21 I20:J20 E21 E23 E37 E38 E39 E40 E41 E42 E43 E44 E45 E46 E47 E48 E49 E50 E51 E52 E53 E54 E55 E56 E57 E58 E59 E60 E61 E62 E63 E64 E65 E66 E67 E68 E69 E70 E71 E72 E73 E74 I18:J19 H24:R2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Q62"/>
  <sheetViews>
    <sheetView zoomScale="55" zoomScaleNormal="55" workbookViewId="0">
      <selection activeCell="I42" sqref="I42"/>
    </sheetView>
  </sheetViews>
  <sheetFormatPr baseColWidth="10" defaultColWidth="8.85546875" defaultRowHeight="18" x14ac:dyDescent="0.25"/>
  <cols>
    <col min="1" max="1" width="29.42578125" style="27" customWidth="1"/>
    <col min="2" max="2" width="25.42578125" style="27" customWidth="1"/>
    <col min="3" max="3" width="16.42578125" style="27" customWidth="1"/>
    <col min="4" max="4" width="19.7109375" style="27" customWidth="1"/>
    <col min="5" max="5" width="17.42578125" style="27" customWidth="1"/>
    <col min="6" max="6" width="19.85546875" style="27" customWidth="1"/>
    <col min="7" max="7" width="12.7109375" style="27" customWidth="1"/>
    <col min="8" max="8" width="14" style="27" customWidth="1"/>
    <col min="9" max="9" width="13.140625" style="27" customWidth="1"/>
    <col min="10" max="10" width="23.7109375" style="27" bestFit="1" customWidth="1"/>
    <col min="11" max="11" width="15.42578125" style="27" customWidth="1"/>
    <col min="12" max="12" width="14" style="38" customWidth="1"/>
    <col min="13" max="13" width="18.28515625" style="38" customWidth="1"/>
    <col min="14" max="15" width="20.140625" style="38" customWidth="1"/>
    <col min="16" max="16" width="21.85546875" style="38" bestFit="1" customWidth="1"/>
    <col min="17" max="17" width="21.85546875" style="24" bestFit="1" customWidth="1"/>
    <col min="18" max="19" width="11" style="24" bestFit="1" customWidth="1"/>
    <col min="20" max="20" width="8.85546875" style="24"/>
    <col min="21" max="21" width="8.85546875" style="144"/>
    <col min="22" max="30" width="8.85546875" style="25"/>
    <col min="31" max="39" width="8.85546875" style="144"/>
    <col min="40" max="43" width="8.85546875" style="138"/>
    <col min="44" max="16384" width="8.85546875" style="24"/>
  </cols>
  <sheetData>
    <row r="1" spans="1:29" ht="18.75" x14ac:dyDescent="0.25">
      <c r="A1" s="20" t="s">
        <v>134</v>
      </c>
      <c r="B1" s="21"/>
      <c r="C1" s="21"/>
      <c r="D1" s="21"/>
      <c r="E1" s="21"/>
      <c r="F1" s="21"/>
      <c r="G1" s="22"/>
      <c r="H1" s="23"/>
      <c r="I1" s="21"/>
      <c r="J1" s="21"/>
      <c r="K1" s="21"/>
      <c r="L1" s="21"/>
      <c r="M1" s="21"/>
      <c r="N1" s="21"/>
      <c r="O1" s="21"/>
      <c r="P1" s="21"/>
      <c r="Q1" s="22"/>
      <c r="R1" s="22"/>
      <c r="S1" s="22"/>
      <c r="T1" s="22"/>
    </row>
    <row r="2" spans="1:29" x14ac:dyDescent="0.25">
      <c r="A2" s="26"/>
      <c r="B2" s="21"/>
      <c r="C2" s="21"/>
      <c r="D2" s="21"/>
      <c r="E2" s="21"/>
      <c r="F2" s="21"/>
      <c r="G2" s="22"/>
      <c r="H2" s="184" t="s">
        <v>82</v>
      </c>
      <c r="I2" s="184"/>
      <c r="J2" s="184"/>
      <c r="K2" s="184"/>
      <c r="L2" s="22"/>
      <c r="M2" s="184"/>
      <c r="N2" s="184"/>
      <c r="O2" s="184"/>
      <c r="P2" s="184"/>
      <c r="Q2" s="22"/>
      <c r="R2" s="22"/>
      <c r="S2" s="22"/>
      <c r="T2" s="22"/>
    </row>
    <row r="3" spans="1:29" ht="18" customHeight="1" x14ac:dyDescent="0.25">
      <c r="A3" s="198" t="s">
        <v>14</v>
      </c>
      <c r="B3" s="200"/>
      <c r="C3" s="21"/>
      <c r="D3" s="198" t="s">
        <v>15</v>
      </c>
      <c r="E3" s="199"/>
      <c r="F3" s="200"/>
      <c r="H3" s="202" t="s">
        <v>85</v>
      </c>
      <c r="I3" s="202"/>
      <c r="J3" s="202"/>
      <c r="K3" s="202"/>
      <c r="L3" s="21"/>
      <c r="M3" s="202" t="s">
        <v>99</v>
      </c>
      <c r="N3" s="202"/>
      <c r="O3" s="202"/>
      <c r="P3" s="28"/>
      <c r="Q3" s="22"/>
      <c r="R3" s="22"/>
      <c r="S3" s="22"/>
      <c r="T3" s="22"/>
    </row>
    <row r="4" spans="1:29" x14ac:dyDescent="0.25">
      <c r="A4" s="29" t="s">
        <v>16</v>
      </c>
      <c r="B4" s="164"/>
      <c r="C4" s="21"/>
      <c r="D4" s="30" t="s">
        <v>17</v>
      </c>
      <c r="E4" s="31" t="s">
        <v>18</v>
      </c>
      <c r="F4" s="32"/>
      <c r="G4" s="22"/>
      <c r="H4" s="29"/>
      <c r="I4" s="29"/>
      <c r="J4" s="29"/>
      <c r="K4" s="33" t="s">
        <v>81</v>
      </c>
      <c r="L4" s="22"/>
      <c r="M4" s="29"/>
      <c r="N4" s="29" t="s">
        <v>100</v>
      </c>
      <c r="O4" s="33" t="s">
        <v>81</v>
      </c>
      <c r="P4" s="22"/>
      <c r="Q4" s="22"/>
      <c r="R4" s="22"/>
      <c r="S4" s="22"/>
      <c r="T4" s="22"/>
    </row>
    <row r="5" spans="1:29" ht="19.5" x14ac:dyDescent="0.25">
      <c r="A5" s="29" t="s">
        <v>14</v>
      </c>
      <c r="B5" s="164"/>
      <c r="C5" s="21"/>
      <c r="D5" s="30" t="s">
        <v>19</v>
      </c>
      <c r="E5" s="34">
        <v>2</v>
      </c>
      <c r="F5" s="32" t="s">
        <v>20</v>
      </c>
      <c r="G5" s="22"/>
      <c r="H5" s="35" t="s">
        <v>70</v>
      </c>
      <c r="I5" s="36">
        <f>0.85*I6+0.15*I7</f>
        <v>0</v>
      </c>
      <c r="J5" s="32" t="s">
        <v>34</v>
      </c>
      <c r="K5" s="32">
        <v>0.8</v>
      </c>
      <c r="L5" s="22"/>
      <c r="M5" s="35" t="s">
        <v>102</v>
      </c>
      <c r="N5" s="18"/>
      <c r="O5" s="32">
        <v>1</v>
      </c>
      <c r="P5" s="22"/>
      <c r="Q5" s="22"/>
      <c r="R5" s="22"/>
      <c r="S5" s="22"/>
      <c r="T5" s="22"/>
    </row>
    <row r="6" spans="1:29" ht="19.5" x14ac:dyDescent="0.25">
      <c r="A6" s="37" t="s">
        <v>21</v>
      </c>
      <c r="B6" s="117" t="s">
        <v>9</v>
      </c>
      <c r="C6" s="21"/>
      <c r="D6" s="32" t="s">
        <v>22</v>
      </c>
      <c r="E6" s="18"/>
      <c r="F6" s="32" t="s">
        <v>23</v>
      </c>
      <c r="G6" s="22"/>
      <c r="H6" s="35" t="s">
        <v>79</v>
      </c>
      <c r="I6" s="18"/>
      <c r="J6" s="32" t="s">
        <v>34</v>
      </c>
      <c r="K6" s="32"/>
      <c r="L6" s="22"/>
      <c r="M6" s="35" t="s">
        <v>101</v>
      </c>
      <c r="N6" s="18"/>
      <c r="O6" s="32">
        <v>2.5</v>
      </c>
      <c r="P6" s="22"/>
      <c r="Q6" s="22"/>
      <c r="R6" s="22"/>
      <c r="S6" s="22"/>
      <c r="T6" s="22"/>
      <c r="V6" s="25" t="s">
        <v>136</v>
      </c>
      <c r="W6" s="25">
        <f>IF(OR(E6&lt;0,E6="",NOT(ISNUMBER(E6))),1,"")</f>
        <v>1</v>
      </c>
      <c r="AA6" s="25" t="str">
        <f>IF(E6="","Pdesign Missing","")</f>
        <v>Pdesign Missing</v>
      </c>
      <c r="AB6" s="25" t="str">
        <f>IF(E6&lt;0,"Pdesign Negative","")</f>
        <v/>
      </c>
      <c r="AC6" s="25" t="str">
        <f>IF(NOT(ISNUMBER(E6)),"Pdesign is not a number","")</f>
        <v>Pdesign is not a number</v>
      </c>
    </row>
    <row r="7" spans="1:29" ht="19.5" x14ac:dyDescent="0.25">
      <c r="A7" s="37" t="s">
        <v>24</v>
      </c>
      <c r="B7" s="2" t="s">
        <v>12</v>
      </c>
      <c r="C7" s="21"/>
      <c r="D7" s="32" t="s">
        <v>25</v>
      </c>
      <c r="E7" s="9"/>
      <c r="F7" s="30" t="s">
        <v>20</v>
      </c>
      <c r="G7" s="22"/>
      <c r="H7" s="35" t="s">
        <v>80</v>
      </c>
      <c r="I7" s="18"/>
      <c r="J7" s="32" t="s">
        <v>34</v>
      </c>
      <c r="K7" s="32"/>
      <c r="L7" s="22"/>
      <c r="N7" s="22"/>
      <c r="O7" s="22"/>
      <c r="P7" s="22"/>
      <c r="Q7" s="22"/>
      <c r="R7" s="22"/>
      <c r="S7" s="22"/>
      <c r="T7" s="22"/>
      <c r="V7" s="25" t="s">
        <v>137</v>
      </c>
      <c r="W7" s="25">
        <f>IF(E7="",1,"")</f>
        <v>1</v>
      </c>
      <c r="X7" s="25" t="str">
        <f>IF(E7&gt;7,1,"")</f>
        <v/>
      </c>
      <c r="Y7" s="25">
        <f>IF(E7&lt;E5,1,"")</f>
        <v>1</v>
      </c>
      <c r="AA7" s="25" t="str">
        <f>IF(E7="","Tbiv Missing","")</f>
        <v>Tbiv Missing</v>
      </c>
      <c r="AB7" s="25" t="str">
        <f>IF(E7&gt;7,"Tbiv &gt; 7°C","")</f>
        <v/>
      </c>
      <c r="AC7" s="25" t="str">
        <f>IF(E7&lt;E5,"Tbiv &lt; Tdesign","")</f>
        <v>Tbiv &lt; Tdesign</v>
      </c>
    </row>
    <row r="8" spans="1:29" ht="19.5" x14ac:dyDescent="0.3">
      <c r="A8" s="29" t="s">
        <v>26</v>
      </c>
      <c r="B8" s="162" t="s">
        <v>11</v>
      </c>
      <c r="C8" s="21"/>
      <c r="D8" s="32" t="s">
        <v>27</v>
      </c>
      <c r="E8" s="9"/>
      <c r="F8" s="32" t="s">
        <v>20</v>
      </c>
      <c r="G8" s="22"/>
      <c r="H8" s="35" t="s">
        <v>71</v>
      </c>
      <c r="I8" s="5"/>
      <c r="J8" s="30" t="s">
        <v>75</v>
      </c>
      <c r="K8" s="32">
        <v>0.02</v>
      </c>
      <c r="L8" s="22"/>
      <c r="M8" s="39" t="s">
        <v>141</v>
      </c>
      <c r="N8" s="22"/>
      <c r="O8" s="22"/>
      <c r="P8" s="22"/>
      <c r="Q8" s="22"/>
      <c r="R8" s="22"/>
      <c r="S8" s="22"/>
      <c r="T8" s="22"/>
      <c r="V8" s="25" t="s">
        <v>138</v>
      </c>
      <c r="W8" s="25">
        <f>IF(E8="",1,"")</f>
        <v>1</v>
      </c>
      <c r="X8" s="25" t="str">
        <f>IF(E8&gt;7,1,"")</f>
        <v/>
      </c>
      <c r="Y8" s="25" t="str">
        <f>IF(E7&lt;E8,1,"")</f>
        <v/>
      </c>
      <c r="AA8" s="25" t="str">
        <f>IF(E8="","TOL Missing","")</f>
        <v>TOL Missing</v>
      </c>
      <c r="AB8" s="25" t="str">
        <f>IF(E8&gt;7,"TOL &gt; 7°C","")</f>
        <v/>
      </c>
      <c r="AC8" s="25" t="str">
        <f>IF(E7&lt;E8," TOL&gt;Tbiv ","")</f>
        <v/>
      </c>
    </row>
    <row r="9" spans="1:29" x14ac:dyDescent="0.25">
      <c r="A9" s="29" t="s">
        <v>29</v>
      </c>
      <c r="B9" s="162" t="s">
        <v>8</v>
      </c>
      <c r="C9" s="21"/>
      <c r="D9" s="30" t="s">
        <v>106</v>
      </c>
      <c r="E9" s="40">
        <v>1366</v>
      </c>
      <c r="F9" s="30" t="s">
        <v>30</v>
      </c>
      <c r="G9" s="22"/>
      <c r="H9" s="22"/>
      <c r="I9" s="22"/>
      <c r="J9" s="22"/>
      <c r="K9" s="22"/>
      <c r="L9" s="22"/>
      <c r="M9" s="106" t="str">
        <f>AA6&amp;" "&amp;AB6&amp;" "&amp;AC6</f>
        <v>Pdesign Missing  Pdesign is not a number</v>
      </c>
      <c r="N9" s="107"/>
      <c r="O9" s="107"/>
      <c r="P9" s="107"/>
      <c r="Q9" s="22"/>
      <c r="R9" s="22"/>
      <c r="S9" s="22"/>
      <c r="T9" s="22"/>
    </row>
    <row r="10" spans="1:29" x14ac:dyDescent="0.25">
      <c r="A10" s="29" t="s">
        <v>31</v>
      </c>
      <c r="B10" s="162" t="s">
        <v>8</v>
      </c>
      <c r="C10" s="21"/>
      <c r="D10" s="32" t="s">
        <v>104</v>
      </c>
      <c r="E10" s="43">
        <f>$E$9*$E$6</f>
        <v>0</v>
      </c>
      <c r="F10" s="32" t="s">
        <v>32</v>
      </c>
      <c r="G10" s="22"/>
      <c r="H10" s="22"/>
      <c r="I10" s="22"/>
      <c r="J10" s="22"/>
      <c r="K10" s="22"/>
      <c r="L10" s="22"/>
      <c r="M10" s="106" t="str">
        <f t="shared" ref="M10:O11" si="0">AA7</f>
        <v>Tbiv Missing</v>
      </c>
      <c r="N10" s="106" t="str">
        <f t="shared" si="0"/>
        <v/>
      </c>
      <c r="O10" s="106" t="str">
        <f t="shared" si="0"/>
        <v>Tbiv &lt; Tdesign</v>
      </c>
      <c r="P10" s="107"/>
      <c r="Q10" s="22"/>
      <c r="R10" s="22"/>
      <c r="S10" s="22"/>
      <c r="T10" s="22"/>
    </row>
    <row r="11" spans="1:29" ht="19.5" x14ac:dyDescent="0.25">
      <c r="A11" s="29" t="s">
        <v>33</v>
      </c>
      <c r="B11" s="162" t="s">
        <v>8</v>
      </c>
      <c r="C11" s="21"/>
      <c r="D11" s="21"/>
      <c r="E11" s="21"/>
      <c r="F11" s="21"/>
      <c r="G11" s="21"/>
      <c r="H11" s="21"/>
      <c r="I11" s="22"/>
      <c r="J11" s="22"/>
      <c r="K11" s="22"/>
      <c r="L11" s="22"/>
      <c r="M11" s="106" t="str">
        <f t="shared" si="0"/>
        <v>TOL Missing</v>
      </c>
      <c r="N11" s="106" t="str">
        <f t="shared" si="0"/>
        <v/>
      </c>
      <c r="O11" s="106" t="str">
        <f t="shared" si="0"/>
        <v/>
      </c>
      <c r="P11" s="107"/>
      <c r="Q11" s="22"/>
      <c r="R11" s="22"/>
      <c r="S11" s="22"/>
      <c r="T11" s="22"/>
      <c r="V11" s="44" t="s">
        <v>142</v>
      </c>
      <c r="W11" s="25" t="str">
        <f>IF(OR(I6&lt;0,AND(I6&lt;&gt;"",NOT(ISNUMBER(I6)))),1,"")</f>
        <v/>
      </c>
      <c r="AA11" s="25" t="str">
        <f>IF(W11=1,"Incorrect "&amp;V11,"")</f>
        <v/>
      </c>
    </row>
    <row r="12" spans="1:29" ht="19.5" x14ac:dyDescent="0.25">
      <c r="A12" s="29" t="s">
        <v>66</v>
      </c>
      <c r="B12" s="162" t="s">
        <v>67</v>
      </c>
      <c r="C12" s="21"/>
      <c r="E12" s="21"/>
      <c r="F12" s="21"/>
      <c r="G12" s="21"/>
      <c r="H12" s="22"/>
      <c r="I12" s="22"/>
      <c r="J12" s="22"/>
      <c r="K12" s="22"/>
      <c r="L12" s="22"/>
      <c r="M12" s="106" t="str">
        <f>AA18</f>
        <v>Complete performance data with correct values</v>
      </c>
      <c r="N12" s="107"/>
      <c r="O12" s="107"/>
      <c r="P12" s="107"/>
      <c r="Q12" s="22"/>
      <c r="R12" s="22"/>
      <c r="S12" s="22"/>
      <c r="T12" s="22"/>
      <c r="V12" s="44" t="s">
        <v>143</v>
      </c>
      <c r="W12" s="25" t="str">
        <f>IF(OR(I7&lt;0,AND(I7&lt;&gt;"",NOT(ISNUMBER(I7)))),1,"")</f>
        <v/>
      </c>
      <c r="AA12" s="25" t="str">
        <f t="shared" ref="AA12:AA15" si="1">IF(W12=1,"Incorrect "&amp;V12,"")</f>
        <v/>
      </c>
    </row>
    <row r="13" spans="1:29" ht="19.5" x14ac:dyDescent="0.25">
      <c r="A13" s="21"/>
      <c r="B13" s="21"/>
      <c r="C13" s="21"/>
      <c r="D13" s="21"/>
      <c r="E13" s="21"/>
      <c r="F13" s="21"/>
      <c r="G13" s="21"/>
      <c r="H13" s="22"/>
      <c r="I13" s="22"/>
      <c r="J13" s="22"/>
      <c r="K13" s="22"/>
      <c r="L13" s="22"/>
      <c r="M13" s="108" t="str">
        <f>AA29&amp;AB29</f>
        <v>Complete Auxiliary data for heating only</v>
      </c>
      <c r="N13" s="107"/>
      <c r="O13" s="107"/>
      <c r="P13" s="107"/>
      <c r="Q13" s="22"/>
      <c r="R13" s="22"/>
      <c r="S13" s="22"/>
      <c r="T13" s="22"/>
      <c r="V13" s="44" t="s">
        <v>144</v>
      </c>
      <c r="W13" s="25" t="str">
        <f>IF(OR(I8&lt;0,AND(I8&lt;&gt;"",NOT(ISNUMBER(I8)))),1,"")</f>
        <v/>
      </c>
      <c r="AA13" s="25" t="str">
        <f t="shared" si="1"/>
        <v/>
      </c>
    </row>
    <row r="14" spans="1:29" ht="19.5" x14ac:dyDescent="0.25">
      <c r="A14" s="21"/>
      <c r="B14" s="21"/>
      <c r="C14" s="21"/>
      <c r="D14" s="21"/>
      <c r="E14" s="21"/>
      <c r="F14" s="21"/>
      <c r="G14" s="21"/>
      <c r="H14" s="21"/>
      <c r="I14" s="22"/>
      <c r="J14" s="22"/>
      <c r="K14" s="22"/>
      <c r="L14" s="22"/>
      <c r="M14" s="106" t="str">
        <f>AA11&amp;"   "&amp;AA12&amp;"   "&amp;AA13</f>
        <v xml:space="preserve">      </v>
      </c>
      <c r="N14" s="106"/>
      <c r="O14" s="106"/>
      <c r="P14" s="107"/>
      <c r="Q14" s="22"/>
      <c r="R14" s="22"/>
      <c r="S14" s="22"/>
      <c r="T14" s="22"/>
      <c r="V14" s="44" t="s">
        <v>145</v>
      </c>
      <c r="W14" s="25" t="str">
        <f>IF(OR(N5&lt;0,AND(N5&lt;&gt;"",NOT(ISNUMBER(N5)))),1,"")</f>
        <v/>
      </c>
      <c r="AA14" s="25" t="str">
        <f t="shared" si="1"/>
        <v/>
      </c>
    </row>
    <row r="15" spans="1:29" ht="19.5" x14ac:dyDescent="0.25">
      <c r="A15" s="198" t="s">
        <v>35</v>
      </c>
      <c r="B15" s="199"/>
      <c r="C15" s="199"/>
      <c r="D15" s="199"/>
      <c r="E15" s="199"/>
      <c r="F15" s="199"/>
      <c r="G15" s="199"/>
      <c r="H15" s="200"/>
      <c r="I15" s="22"/>
      <c r="J15" s="22"/>
      <c r="K15" s="22"/>
      <c r="L15" s="22"/>
      <c r="M15" s="106" t="str">
        <f>AA14&amp;"  "&amp;AA15</f>
        <v xml:space="preserve">  </v>
      </c>
      <c r="N15" s="106"/>
      <c r="O15" s="107"/>
      <c r="P15" s="107"/>
      <c r="Q15" s="22"/>
      <c r="R15" s="22"/>
      <c r="S15" s="22"/>
      <c r="T15" s="22"/>
      <c r="V15" s="44" t="s">
        <v>146</v>
      </c>
      <c r="W15" s="25" t="str">
        <f>IF(OR(N6&lt;0,AND(N6&lt;&gt;"",NOT(ISNUMBER(N6)))),1,"")</f>
        <v/>
      </c>
      <c r="AA15" s="25" t="str">
        <f t="shared" si="1"/>
        <v/>
      </c>
    </row>
    <row r="16" spans="1:29" ht="72" x14ac:dyDescent="0.25">
      <c r="A16" s="32" t="s">
        <v>36</v>
      </c>
      <c r="B16" s="32" t="s">
        <v>37</v>
      </c>
      <c r="C16" s="32" t="s">
        <v>38</v>
      </c>
      <c r="D16" s="32" t="s">
        <v>39</v>
      </c>
      <c r="E16" s="157" t="s">
        <v>40</v>
      </c>
      <c r="F16" s="157" t="s">
        <v>41</v>
      </c>
      <c r="G16" s="157" t="s">
        <v>68</v>
      </c>
      <c r="H16" s="157" t="s">
        <v>69</v>
      </c>
      <c r="I16" s="22"/>
      <c r="J16" s="22"/>
      <c r="K16" s="21"/>
      <c r="L16" s="46"/>
      <c r="N16" s="46"/>
      <c r="O16" s="46"/>
      <c r="P16" s="46"/>
      <c r="Q16" s="22"/>
      <c r="R16" s="22"/>
      <c r="S16" s="22"/>
      <c r="T16" s="22"/>
    </row>
    <row r="17" spans="1:28" x14ac:dyDescent="0.25">
      <c r="A17" s="47" t="s">
        <v>42</v>
      </c>
      <c r="B17" s="47">
        <v>-7</v>
      </c>
      <c r="C17" s="48" t="s">
        <v>116</v>
      </c>
      <c r="D17" s="48" t="s">
        <v>116</v>
      </c>
      <c r="E17" s="162"/>
      <c r="F17" s="109" t="s">
        <v>116</v>
      </c>
      <c r="G17" s="109" t="s">
        <v>116</v>
      </c>
      <c r="H17" s="109" t="s">
        <v>116</v>
      </c>
      <c r="I17" s="22"/>
      <c r="J17" s="22"/>
      <c r="K17" s="201" t="s">
        <v>28</v>
      </c>
      <c r="L17" s="201"/>
      <c r="M17" s="201"/>
      <c r="N17" s="201"/>
      <c r="O17" s="201"/>
      <c r="P17" s="201"/>
      <c r="Q17" s="201"/>
      <c r="R17" s="201"/>
      <c r="S17" s="22"/>
      <c r="T17" s="22"/>
      <c r="V17" s="25" t="s">
        <v>139</v>
      </c>
    </row>
    <row r="18" spans="1:28" ht="21" x14ac:dyDescent="0.25">
      <c r="A18" s="47" t="s">
        <v>43</v>
      </c>
      <c r="B18" s="47">
        <v>2</v>
      </c>
      <c r="C18" s="48">
        <f t="shared" ref="C18:C20" si="2">(B18-16)/($E$5-16)</f>
        <v>1</v>
      </c>
      <c r="D18" s="49" t="str">
        <f>IF($W$33&gt;0,"",$E$6*C18)</f>
        <v/>
      </c>
      <c r="E18" s="162"/>
      <c r="F18" s="6"/>
      <c r="G18" s="6"/>
      <c r="H18" s="6"/>
      <c r="I18" s="22"/>
      <c r="J18" s="22"/>
      <c r="K18" s="40" t="s">
        <v>95</v>
      </c>
      <c r="L18" s="40" t="s">
        <v>96</v>
      </c>
      <c r="M18" s="40" t="s">
        <v>97</v>
      </c>
      <c r="N18" s="40" t="s">
        <v>103</v>
      </c>
      <c r="O18" s="40" t="s">
        <v>105</v>
      </c>
      <c r="P18" s="40" t="s">
        <v>92</v>
      </c>
      <c r="Q18" s="40" t="s">
        <v>107</v>
      </c>
      <c r="R18" s="40" t="s">
        <v>108</v>
      </c>
      <c r="S18" s="22"/>
      <c r="T18" s="22"/>
      <c r="W18" s="25">
        <f t="shared" ref="W18:Y22" si="3">IF(AND(F18&gt;0,ISNUMBER(F18)),"",1)</f>
        <v>1</v>
      </c>
      <c r="X18" s="25">
        <f t="shared" si="3"/>
        <v>1</v>
      </c>
      <c r="Y18" s="25">
        <f t="shared" si="3"/>
        <v>1</v>
      </c>
      <c r="AA18" s="25" t="str">
        <f>IF(SUM(W18:Y22)&gt;0,"Complete performance data with correct values","")</f>
        <v>Complete performance data with correct values</v>
      </c>
    </row>
    <row r="19" spans="1:28" x14ac:dyDescent="0.25">
      <c r="A19" s="47" t="s">
        <v>44</v>
      </c>
      <c r="B19" s="47">
        <v>7</v>
      </c>
      <c r="C19" s="48">
        <f t="shared" si="2"/>
        <v>0.6428571428571429</v>
      </c>
      <c r="D19" s="49" t="str">
        <f>IF($W$33&gt;0,"",$E$6*C19)</f>
        <v/>
      </c>
      <c r="E19" s="162"/>
      <c r="F19" s="6"/>
      <c r="G19" s="6"/>
      <c r="H19" s="6"/>
      <c r="I19" s="22"/>
      <c r="J19" s="22"/>
      <c r="K19" s="50" t="str">
        <f>IF($W$33&gt;0,"",O51/P51)</f>
        <v/>
      </c>
      <c r="L19" s="50" t="str">
        <f>IF($W$33&gt;0,"",O51/Q51)</f>
        <v/>
      </c>
      <c r="M19" s="50" t="str">
        <f>IF($W$33&gt;0,"",IF(AND($N$5&lt;&gt;0,$N$6&lt;&gt;0),1/($N$5/$K$19+$N$6/L$19),IF(AND($N$5="",$N$6&lt;&gt;0),1/($O$5/$K$19+$N$6/L$19),IF(AND($N$5&lt;&gt;0,$N$6=""),1/($N$5/$K$19+$O$6/L$19),1/($O$5/$K$19+$O$6/L$19)))))</f>
        <v/>
      </c>
      <c r="N19" s="51" t="str">
        <f>IF($W$33&gt;0,"",K51/M51)</f>
        <v/>
      </c>
      <c r="O19" s="51" t="str">
        <f>IF($W$33&gt;0,"",K51/N51)</f>
        <v/>
      </c>
      <c r="P19" s="51" t="str">
        <f>IF($W$33&gt;0,"",IF($B$7="heating only",E10/(E10/O19+D29+D30+D31),E10/(E10/O19+I29+I30+I31)))</f>
        <v/>
      </c>
      <c r="Q19" s="51" t="str">
        <f>IF($W$33&gt;0,"",IF(AND($N$5&lt;&gt;0,$N$6&lt;&gt;0),1/($N$5/$N$19+$N$6/P$19),(IF(AND($N$5="",$N$6&lt;&gt;0),1/($O$5/$N$19+$N$6/P$19),IF(AND($N$5&lt;&gt;0,$N$6=""),1/($N$5/$N$19+$O$6/P$19),1/($O$5/$N$19+$O$6/P$19))))))</f>
        <v/>
      </c>
      <c r="R19" s="51" t="str">
        <f>IF($W$33&gt;0,"",$Q$19*100-L27-L28)</f>
        <v/>
      </c>
      <c r="S19" s="22"/>
      <c r="T19" s="22"/>
      <c r="W19" s="25">
        <f t="shared" si="3"/>
        <v>1</v>
      </c>
      <c r="X19" s="25">
        <f t="shared" si="3"/>
        <v>1</v>
      </c>
      <c r="Y19" s="25">
        <f t="shared" si="3"/>
        <v>1</v>
      </c>
    </row>
    <row r="20" spans="1:28" x14ac:dyDescent="0.25">
      <c r="A20" s="47" t="s">
        <v>45</v>
      </c>
      <c r="B20" s="47">
        <v>12</v>
      </c>
      <c r="C20" s="48">
        <f t="shared" si="2"/>
        <v>0.2857142857142857</v>
      </c>
      <c r="D20" s="49" t="str">
        <f>IF($W$33&gt;0,"",$E$6*C20)</f>
        <v/>
      </c>
      <c r="E20" s="162"/>
      <c r="F20" s="6"/>
      <c r="G20" s="6"/>
      <c r="H20" s="6"/>
      <c r="I20" s="22"/>
      <c r="J20" s="22"/>
      <c r="K20" s="22"/>
      <c r="L20" s="22"/>
      <c r="M20" s="21"/>
      <c r="N20" s="22"/>
      <c r="O20" s="22"/>
      <c r="P20" s="22"/>
      <c r="Q20" s="22"/>
      <c r="R20" s="22"/>
      <c r="S20" s="22"/>
      <c r="T20" s="22"/>
      <c r="W20" s="25">
        <f t="shared" si="3"/>
        <v>1</v>
      </c>
      <c r="X20" s="25">
        <f t="shared" si="3"/>
        <v>1</v>
      </c>
      <c r="Y20" s="25">
        <f t="shared" si="3"/>
        <v>1</v>
      </c>
    </row>
    <row r="21" spans="1:28" x14ac:dyDescent="0.25">
      <c r="A21" s="47" t="s">
        <v>46</v>
      </c>
      <c r="B21" s="30" t="str">
        <f>IF(E8="","",IF(E8&lt;2,2,E8))</f>
        <v/>
      </c>
      <c r="C21" s="48" t="str">
        <f>IF(B21="","",(B21-16)/($E$5-16))</f>
        <v/>
      </c>
      <c r="D21" s="49" t="str">
        <f>IF($W$33&gt;0,"",$E$6*C21)</f>
        <v/>
      </c>
      <c r="E21" s="162"/>
      <c r="F21" s="6"/>
      <c r="G21" s="6"/>
      <c r="H21" s="6"/>
      <c r="I21" s="22"/>
      <c r="J21" s="22"/>
      <c r="K21" s="22"/>
      <c r="L21" s="22"/>
      <c r="M21" s="21"/>
      <c r="N21" s="22"/>
      <c r="O21" s="22"/>
      <c r="P21" s="22"/>
      <c r="Q21" s="22"/>
      <c r="R21" s="22"/>
      <c r="S21" s="22"/>
      <c r="T21" s="22"/>
      <c r="W21" s="25">
        <f t="shared" si="3"/>
        <v>1</v>
      </c>
      <c r="X21" s="25">
        <f t="shared" si="3"/>
        <v>1</v>
      </c>
      <c r="Y21" s="25">
        <f t="shared" si="3"/>
        <v>1</v>
      </c>
    </row>
    <row r="22" spans="1:28" x14ac:dyDescent="0.25">
      <c r="A22" s="47" t="s">
        <v>47</v>
      </c>
      <c r="B22" s="52" t="str">
        <f>IF(E7="","",E7)</f>
        <v/>
      </c>
      <c r="C22" s="48" t="str">
        <f>IF(B22="","",(B22-16)/($E$5-16))</f>
        <v/>
      </c>
      <c r="D22" s="49" t="str">
        <f>IF($W$33&gt;0,"",$E$6*C22)</f>
        <v/>
      </c>
      <c r="E22" s="162"/>
      <c r="F22" s="6"/>
      <c r="G22" s="6"/>
      <c r="H22" s="6"/>
      <c r="I22" s="22"/>
      <c r="J22" s="22"/>
      <c r="K22" s="22"/>
      <c r="L22" s="22"/>
      <c r="M22" s="21"/>
      <c r="N22" s="22"/>
      <c r="O22" s="22"/>
      <c r="P22" s="22"/>
      <c r="Q22" s="22"/>
      <c r="R22" s="22"/>
      <c r="S22" s="22"/>
      <c r="T22" s="22"/>
      <c r="W22" s="25">
        <f t="shared" si="3"/>
        <v>1</v>
      </c>
      <c r="X22" s="25">
        <f t="shared" si="3"/>
        <v>1</v>
      </c>
      <c r="Y22" s="25">
        <f t="shared" si="3"/>
        <v>1</v>
      </c>
    </row>
    <row r="23" spans="1:28" x14ac:dyDescent="0.25">
      <c r="A23" s="21"/>
      <c r="B23" s="21"/>
      <c r="C23" s="21"/>
      <c r="D23" s="21"/>
      <c r="E23" s="21"/>
      <c r="F23" s="21"/>
      <c r="G23" s="21"/>
      <c r="H23" s="21"/>
      <c r="I23" s="21"/>
      <c r="J23" s="53"/>
      <c r="K23" s="53"/>
      <c r="L23" s="53"/>
      <c r="M23" s="21"/>
      <c r="N23" s="22"/>
      <c r="O23" s="22"/>
      <c r="P23" s="22"/>
      <c r="Q23" s="22"/>
      <c r="R23" s="22"/>
      <c r="S23" s="22"/>
      <c r="T23" s="22"/>
    </row>
    <row r="24" spans="1:28" x14ac:dyDescent="0.25">
      <c r="A24" s="21"/>
      <c r="B24" s="21"/>
      <c r="C24" s="21"/>
      <c r="D24" s="21"/>
      <c r="E24" s="21"/>
      <c r="F24" s="21"/>
      <c r="G24" s="21"/>
      <c r="H24" s="21"/>
      <c r="I24" s="21"/>
      <c r="J24" s="53"/>
      <c r="K24" s="53"/>
      <c r="L24" s="53"/>
      <c r="M24" s="21"/>
      <c r="N24" s="22"/>
      <c r="O24" s="22"/>
      <c r="P24" s="22"/>
      <c r="Q24" s="22"/>
      <c r="R24" s="22"/>
      <c r="S24" s="22"/>
      <c r="T24" s="22"/>
    </row>
    <row r="25" spans="1:28" ht="18" customHeight="1" x14ac:dyDescent="0.25">
      <c r="A25" s="198" t="s">
        <v>48</v>
      </c>
      <c r="B25" s="199"/>
      <c r="C25" s="199"/>
      <c r="D25" s="199"/>
      <c r="E25" s="199"/>
      <c r="F25" s="199"/>
      <c r="G25" s="199"/>
      <c r="H25" s="199"/>
      <c r="I25" s="200"/>
      <c r="J25" s="53"/>
      <c r="K25" s="198" t="s">
        <v>164</v>
      </c>
      <c r="L25" s="200"/>
      <c r="M25" s="21"/>
      <c r="N25" s="22"/>
      <c r="O25" s="22"/>
      <c r="P25" s="22"/>
      <c r="Q25" s="22"/>
      <c r="R25" s="22"/>
      <c r="S25" s="22"/>
      <c r="T25" s="22"/>
    </row>
    <row r="26" spans="1:28" x14ac:dyDescent="0.25">
      <c r="A26" s="54" t="s">
        <v>49</v>
      </c>
      <c r="B26" s="46"/>
      <c r="C26" s="46"/>
      <c r="D26" s="46"/>
      <c r="E26" s="46"/>
      <c r="F26" s="183" t="s">
        <v>50</v>
      </c>
      <c r="G26" s="183"/>
      <c r="H26" s="183"/>
      <c r="I26" s="183"/>
      <c r="J26" s="53"/>
      <c r="K26" s="53"/>
      <c r="L26" s="53"/>
      <c r="M26" s="21"/>
      <c r="N26" s="22"/>
      <c r="O26" s="22"/>
      <c r="P26" s="22"/>
      <c r="Q26" s="22"/>
      <c r="R26" s="22"/>
      <c r="S26" s="22"/>
      <c r="T26" s="22"/>
    </row>
    <row r="27" spans="1:28" ht="18" customHeight="1" x14ac:dyDescent="0.25">
      <c r="A27" s="55"/>
      <c r="B27" s="56" t="s">
        <v>51</v>
      </c>
      <c r="C27" s="56" t="s">
        <v>110</v>
      </c>
      <c r="D27" s="56" t="s">
        <v>111</v>
      </c>
      <c r="E27" s="46"/>
      <c r="F27" s="55"/>
      <c r="G27" s="56" t="s">
        <v>51</v>
      </c>
      <c r="H27" s="56" t="s">
        <v>112</v>
      </c>
      <c r="I27" s="56" t="s">
        <v>111</v>
      </c>
      <c r="J27" s="53"/>
      <c r="K27" s="59" t="s">
        <v>113</v>
      </c>
      <c r="L27" s="60">
        <v>3</v>
      </c>
      <c r="M27" s="60" t="s">
        <v>34</v>
      </c>
      <c r="N27" s="53"/>
      <c r="O27" s="53"/>
      <c r="P27" s="21"/>
      <c r="Q27" s="22"/>
      <c r="R27" s="22"/>
      <c r="S27" s="22"/>
      <c r="T27" s="22"/>
    </row>
    <row r="28" spans="1:28" x14ac:dyDescent="0.25">
      <c r="A28" s="55"/>
      <c r="B28" s="57"/>
      <c r="C28" s="57" t="s">
        <v>161</v>
      </c>
      <c r="D28" s="57" t="s">
        <v>109</v>
      </c>
      <c r="E28" s="46"/>
      <c r="F28" s="55"/>
      <c r="G28" s="57"/>
      <c r="H28" s="57" t="s">
        <v>161</v>
      </c>
      <c r="I28" s="57" t="s">
        <v>109</v>
      </c>
      <c r="J28" s="53"/>
      <c r="K28" s="59" t="s">
        <v>114</v>
      </c>
      <c r="L28" s="60">
        <f>IF($B$6="ground water-to-water",2,IF($B$6="ground/brine-to-water",1,0))</f>
        <v>0</v>
      </c>
      <c r="M28" s="61" t="s">
        <v>34</v>
      </c>
      <c r="N28" s="53"/>
      <c r="O28" s="53"/>
      <c r="P28" s="21"/>
      <c r="Q28" s="22"/>
      <c r="R28" s="22"/>
      <c r="S28" s="22"/>
      <c r="T28" s="22"/>
    </row>
    <row r="29" spans="1:28" x14ac:dyDescent="0.25">
      <c r="A29" s="30" t="s">
        <v>52</v>
      </c>
      <c r="B29" s="47">
        <v>754</v>
      </c>
      <c r="C29" s="2"/>
      <c r="D29" s="58">
        <f>C29*B29</f>
        <v>0</v>
      </c>
      <c r="E29" s="46"/>
      <c r="F29" s="37" t="s">
        <v>52</v>
      </c>
      <c r="G29" s="40">
        <v>754</v>
      </c>
      <c r="H29" s="2"/>
      <c r="I29" s="58">
        <f>H29*G29</f>
        <v>0</v>
      </c>
      <c r="J29" s="53"/>
      <c r="K29" s="53"/>
      <c r="L29" s="53"/>
      <c r="M29" s="53"/>
      <c r="N29" s="53"/>
      <c r="O29" s="53"/>
      <c r="P29" s="21"/>
      <c r="Q29" s="22"/>
      <c r="R29" s="22"/>
      <c r="S29" s="22"/>
      <c r="T29" s="22"/>
      <c r="V29" s="25" t="s">
        <v>140</v>
      </c>
      <c r="W29" s="25">
        <f>IF($B$7="heating only",IF(AND(C29&gt;=0,ISNUMBER(C29)),"",1),"")</f>
        <v>1</v>
      </c>
      <c r="X29" s="25" t="str">
        <f>IF($B$7="reversible",IF(AND(H29&gt;=0,ISNUMBER(H29)),"",1),"")</f>
        <v/>
      </c>
      <c r="AA29" s="25" t="str">
        <f>IF(SUM(W29:W31)&gt;0,"Complete Auxiliary data for heating only","")</f>
        <v>Complete Auxiliary data for heating only</v>
      </c>
      <c r="AB29" s="25" t="str">
        <f>IF(SUM(X29:X31)&gt;0,"Complete Auxiliary data for reversible unit","")</f>
        <v/>
      </c>
    </row>
    <row r="30" spans="1:28" x14ac:dyDescent="0.25">
      <c r="A30" s="30" t="s">
        <v>53</v>
      </c>
      <c r="B30" s="47">
        <v>0</v>
      </c>
      <c r="C30" s="2"/>
      <c r="D30" s="58">
        <f t="shared" ref="D30:D31" si="4">C30*B30</f>
        <v>0</v>
      </c>
      <c r="E30" s="46"/>
      <c r="F30" s="37" t="s">
        <v>53</v>
      </c>
      <c r="G30" s="40">
        <v>0</v>
      </c>
      <c r="H30" s="2"/>
      <c r="I30" s="58">
        <f t="shared" ref="I30:I31" si="5">H30*G30</f>
        <v>0</v>
      </c>
      <c r="J30" s="53"/>
      <c r="K30" s="53"/>
      <c r="L30" s="53"/>
      <c r="M30" s="53"/>
      <c r="N30" s="53"/>
      <c r="O30" s="53"/>
      <c r="P30" s="21"/>
      <c r="Q30" s="22"/>
      <c r="R30" s="22"/>
      <c r="S30" s="22"/>
      <c r="T30" s="22"/>
      <c r="W30" s="25">
        <f>IF($B$7="heating only",IF(AND(C30&gt;=0,ISNUMBER(C30)),"",1),"")</f>
        <v>1</v>
      </c>
      <c r="X30" s="25" t="str">
        <f>IF($B$7="reversible",IF(AND(H30&gt;=0,ISNUMBER(H30)),"",1),"")</f>
        <v/>
      </c>
    </row>
    <row r="31" spans="1:28" x14ac:dyDescent="0.25">
      <c r="A31" s="30" t="s">
        <v>54</v>
      </c>
      <c r="B31" s="47">
        <v>4416</v>
      </c>
      <c r="C31" s="2"/>
      <c r="D31" s="58">
        <f t="shared" si="4"/>
        <v>0</v>
      </c>
      <c r="E31" s="46"/>
      <c r="F31" s="37" t="s">
        <v>54</v>
      </c>
      <c r="G31" s="40">
        <v>0</v>
      </c>
      <c r="H31" s="2"/>
      <c r="I31" s="58">
        <f t="shared" si="5"/>
        <v>0</v>
      </c>
      <c r="J31" s="53"/>
      <c r="K31" s="53"/>
      <c r="L31" s="53"/>
      <c r="M31" s="53"/>
      <c r="N31" s="53"/>
      <c r="O31" s="53"/>
      <c r="P31" s="21"/>
      <c r="Q31" s="22"/>
      <c r="R31" s="22"/>
      <c r="S31" s="22"/>
      <c r="W31" s="25">
        <f>IF($B$7="heating only",IF(AND(C31&gt;=0,ISNUMBER(C31)),"",1),"")</f>
        <v>1</v>
      </c>
      <c r="X31" s="25" t="str">
        <f>IF($B$7="reversible",IF(AND(H31&gt;=0,ISNUMBER(H31)),"",1),"")</f>
        <v/>
      </c>
    </row>
    <row r="32" spans="1:28" x14ac:dyDescent="0.25">
      <c r="A32" s="26"/>
      <c r="B32" s="21"/>
      <c r="C32" s="21"/>
      <c r="D32" s="21"/>
      <c r="E32" s="21"/>
      <c r="F32" s="21"/>
      <c r="G32" s="21"/>
      <c r="H32" s="21"/>
      <c r="I32" s="21"/>
      <c r="J32" s="53"/>
      <c r="K32" s="53"/>
      <c r="L32" s="53"/>
      <c r="M32" s="53"/>
      <c r="N32" s="53"/>
      <c r="O32" s="53"/>
      <c r="P32" s="21"/>
      <c r="Q32" s="22"/>
      <c r="R32" s="22"/>
      <c r="S32" s="22"/>
      <c r="T32" s="22"/>
    </row>
    <row r="33" spans="1:30" ht="18.75" thickBot="1" x14ac:dyDescent="0.3">
      <c r="A33" s="195" t="s">
        <v>4</v>
      </c>
      <c r="B33" s="196"/>
      <c r="C33" s="196"/>
      <c r="D33" s="196"/>
      <c r="E33" s="196"/>
      <c r="F33" s="196"/>
      <c r="G33" s="196"/>
      <c r="H33" s="196"/>
      <c r="I33" s="196"/>
      <c r="J33" s="196"/>
      <c r="K33" s="196"/>
      <c r="L33" s="196"/>
      <c r="M33" s="196"/>
      <c r="N33" s="196"/>
      <c r="O33" s="196"/>
      <c r="P33" s="196"/>
      <c r="Q33" s="197"/>
      <c r="R33" s="22"/>
      <c r="S33" s="22"/>
      <c r="T33" s="22"/>
      <c r="W33" s="25">
        <f>SUM(W6:Y31)</f>
        <v>22</v>
      </c>
    </row>
    <row r="34" spans="1:30" ht="54.75" x14ac:dyDescent="0.25">
      <c r="A34" s="177" t="s">
        <v>36</v>
      </c>
      <c r="B34" s="62" t="s">
        <v>55</v>
      </c>
      <c r="C34" s="62" t="s">
        <v>56</v>
      </c>
      <c r="D34" s="62" t="s">
        <v>57</v>
      </c>
      <c r="E34" s="63" t="s">
        <v>58</v>
      </c>
      <c r="F34" s="64" t="s">
        <v>72</v>
      </c>
      <c r="G34" s="179" t="s">
        <v>86</v>
      </c>
      <c r="H34" s="179"/>
      <c r="I34" s="179"/>
      <c r="J34" s="110" t="s">
        <v>84</v>
      </c>
      <c r="K34" s="65" t="s">
        <v>59</v>
      </c>
      <c r="L34" s="62" t="s">
        <v>73</v>
      </c>
      <c r="M34" s="62" t="s">
        <v>87</v>
      </c>
      <c r="N34" s="63" t="s">
        <v>88</v>
      </c>
      <c r="O34" s="65" t="s">
        <v>94</v>
      </c>
      <c r="P34" s="62" t="s">
        <v>93</v>
      </c>
      <c r="Q34" s="63" t="s">
        <v>98</v>
      </c>
      <c r="R34" s="22"/>
      <c r="S34" s="22"/>
      <c r="T34" s="22"/>
    </row>
    <row r="35" spans="1:30" ht="42" customHeight="1" x14ac:dyDescent="0.25">
      <c r="A35" s="178"/>
      <c r="B35" s="157" t="s">
        <v>60</v>
      </c>
      <c r="C35" s="157" t="s">
        <v>61</v>
      </c>
      <c r="D35" s="157" t="s">
        <v>62</v>
      </c>
      <c r="E35" s="66"/>
      <c r="F35" s="67" t="s">
        <v>63</v>
      </c>
      <c r="G35" s="157"/>
      <c r="H35" s="157" t="s">
        <v>76</v>
      </c>
      <c r="I35" s="157" t="s">
        <v>77</v>
      </c>
      <c r="J35" s="99" t="s">
        <v>78</v>
      </c>
      <c r="K35" s="67" t="s">
        <v>64</v>
      </c>
      <c r="L35" s="157" t="s">
        <v>83</v>
      </c>
      <c r="M35" s="157"/>
      <c r="N35" s="66"/>
      <c r="O35" s="68" t="s">
        <v>91</v>
      </c>
      <c r="P35" s="157" t="s">
        <v>90</v>
      </c>
      <c r="Q35" s="66" t="s">
        <v>89</v>
      </c>
      <c r="R35" s="22"/>
      <c r="S35" s="22"/>
      <c r="T35" s="22"/>
      <c r="Y35" s="25" t="s">
        <v>117</v>
      </c>
      <c r="Z35" s="25" t="s">
        <v>117</v>
      </c>
      <c r="AA35" s="25" t="s">
        <v>118</v>
      </c>
      <c r="AB35" s="25" t="s">
        <v>118</v>
      </c>
      <c r="AC35" s="25" t="s">
        <v>119</v>
      </c>
      <c r="AD35" s="25" t="s">
        <v>119</v>
      </c>
    </row>
    <row r="36" spans="1:30" x14ac:dyDescent="0.25">
      <c r="A36" s="69"/>
      <c r="B36" s="70" t="s">
        <v>65</v>
      </c>
      <c r="C36" s="70" t="s">
        <v>20</v>
      </c>
      <c r="D36" s="57" t="s">
        <v>74</v>
      </c>
      <c r="E36" s="71" t="s">
        <v>34</v>
      </c>
      <c r="F36" s="72" t="s">
        <v>75</v>
      </c>
      <c r="G36" s="32" t="s">
        <v>75</v>
      </c>
      <c r="H36" s="32" t="s">
        <v>65</v>
      </c>
      <c r="I36" s="30" t="s">
        <v>65</v>
      </c>
      <c r="J36" s="111" t="s">
        <v>75</v>
      </c>
      <c r="K36" s="74" t="s">
        <v>32</v>
      </c>
      <c r="L36" s="57" t="s">
        <v>32</v>
      </c>
      <c r="M36" s="57" t="s">
        <v>32</v>
      </c>
      <c r="N36" s="71" t="s">
        <v>32</v>
      </c>
      <c r="O36" s="74" t="s">
        <v>32</v>
      </c>
      <c r="P36" s="57" t="s">
        <v>32</v>
      </c>
      <c r="Q36" s="71" t="s">
        <v>32</v>
      </c>
      <c r="R36" s="22"/>
      <c r="S36" s="22"/>
      <c r="T36" s="22"/>
      <c r="V36" s="25">
        <v>0</v>
      </c>
      <c r="W36" s="25">
        <v>0</v>
      </c>
    </row>
    <row r="37" spans="1:30" x14ac:dyDescent="0.25">
      <c r="A37" s="112" t="str">
        <f>IF(AND(C37=$B$21,C37=$E$7,C37=2),"B/E/F",IF(C37=$B$21,"B/E",IF(C37=$E$7,"B/F","B")))</f>
        <v>B</v>
      </c>
      <c r="B37" s="70">
        <v>33</v>
      </c>
      <c r="C37" s="70">
        <v>2</v>
      </c>
      <c r="D37" s="37">
        <v>3</v>
      </c>
      <c r="E37" s="76">
        <f t="shared" ref="E37:E50" si="6">(C37-16)/($E$5-16)</f>
        <v>1</v>
      </c>
      <c r="F37" s="77" t="str">
        <f t="shared" ref="F37:F50" si="7">IF($W$33&gt;0,"",$E$6*E37)</f>
        <v/>
      </c>
      <c r="G37" s="78" t="str">
        <f t="shared" ref="G37:G50" si="8">IF($W$33&gt;0,"",IF($C37&lt;$E$8,0,IF($C37=$E$7,F$22,IF($C37=$E$8,F$21,IF($V37=1,$Y37,($C37-$W37)/($X37-$W37)*($Z37-$Y37)+$Y37)))))</f>
        <v/>
      </c>
      <c r="H37" s="78" t="str">
        <f t="shared" ref="H37:H50" si="9">IF($W$33&gt;0,"",IF($C37&lt;$E$8,0,IF($C37=$E$7,G$22,IF($C37=$E$8,$G$21,IF($V37=1,$AA37,($C37-$W37)/($X37-$W37)*($AB37-$AA37)+$AA37)))))</f>
        <v/>
      </c>
      <c r="I37" s="78" t="str">
        <f t="shared" ref="I37:I50" si="10">IF($W$33&gt;0,"",IF($C37&lt;$E$8,0,IF($C37=$E$7,H$22,IF($C37=$E$8,H$21,IF($V37=1,$AC37,($C37-$W37)/($X37-$W37)*($AD37-$AC37)+$AC37)))))</f>
        <v/>
      </c>
      <c r="J37" s="113" t="str">
        <f t="shared" ref="J37:J50" si="11">IF($W$33&gt;0,"",IF(C37&lt;$E$8,F37,IF(C37&lt;$E$7,F37-G37,0)))</f>
        <v/>
      </c>
      <c r="K37" s="77" t="str">
        <f t="shared" ref="K37:K50" si="12">IF($W$33&gt;0,"",F37*D37)</f>
        <v/>
      </c>
      <c r="L37" s="80" t="str">
        <f t="shared" ref="L37:L50" si="13">IF($W$33&gt;0,"",J37*D37)</f>
        <v/>
      </c>
      <c r="M37" s="78" t="str">
        <f t="shared" ref="M37:M50" si="14">IF($W$33&gt;0,"",IF(AND(C37&lt;$E$8,$I$5=0),K37/$K$5,IF(AND(C37&lt;$E$8,$I$5&gt;0),K37/$I$5,IF(AND(C37&lt;$E$7,$I$5=0),D37*(G37/H37+J37/$K$5),IF(AND(C37&lt;$E$7,$I$5&gt;0),D37*(G37/H37+J37/$I$5),K37/H37)))))</f>
        <v/>
      </c>
      <c r="N37" s="79" t="str">
        <f>IF($W$33&gt;0,"",IF(AND(C37&lt;$E$8,$I$8=""),K37*$K$8,IF(AND(C37&lt;$E$8,$I$8&gt;0),K37*$I$8,IF(AND(C37&lt;$E$7,$I$8=""),D37*(G37/I37+J37*$K$8),IF(AND(C37&lt;$E$7,$I$8&gt;0),D37*(G37/I37+J37*$I$8),K37/I37)))))</f>
        <v/>
      </c>
      <c r="O37" s="77" t="str">
        <f t="shared" ref="O37:O50" si="15">IF($W$33&gt;0,"",IF(C37&lt;$E$8,0,D37*(F37-J37)))</f>
        <v/>
      </c>
      <c r="P37" s="78" t="str">
        <f t="shared" ref="P37:P50" si="16">IF($W$33&gt;0,"",IF(C37&lt;$E$8,0,D37*((F37-J37)/H37)))</f>
        <v/>
      </c>
      <c r="Q37" s="79" t="str">
        <f t="shared" ref="Q37:Q50" si="17">IF($W$33&gt;0,"",IF(C37&lt;$E$8,0,D37*((F37-J37)/I37)))</f>
        <v/>
      </c>
      <c r="R37" s="81"/>
      <c r="S37" s="22"/>
      <c r="T37" s="22"/>
      <c r="V37" s="25">
        <f t="shared" ref="V37:V50" si="18">IF(A37="",0,1)</f>
        <v>1</v>
      </c>
      <c r="W37" s="25">
        <f t="shared" ref="W37:W47" si="19">IF(V37=0,W36,C37)</f>
        <v>2</v>
      </c>
      <c r="X37" s="25">
        <f t="shared" ref="X37:X49" si="20">IF(V37=0,X38,C37)</f>
        <v>2</v>
      </c>
      <c r="Y37" s="25">
        <f t="shared" ref="Y37:Y50" si="21">VLOOKUP(W37,$B$18:$H$22,5,FALSE)</f>
        <v>0</v>
      </c>
      <c r="Z37" s="82">
        <f t="shared" ref="Z37:Z50" si="22">VLOOKUP(X37,$B$18:$H$22,5,FALSE)</f>
        <v>0</v>
      </c>
      <c r="AA37" s="25">
        <f t="shared" ref="AA37:AA50" si="23">VLOOKUP(W37,$B$18:$H$22,6,FALSE)</f>
        <v>0</v>
      </c>
      <c r="AB37" s="82">
        <f t="shared" ref="AB37:AB50" si="24">VLOOKUP(X37,$B$18:$H$22,6,FALSE)</f>
        <v>0</v>
      </c>
      <c r="AC37" s="25">
        <f t="shared" ref="AC37:AC50" si="25">VLOOKUP(W37,$B$18:$H$22,7,FALSE)</f>
        <v>0</v>
      </c>
      <c r="AD37" s="82">
        <f t="shared" ref="AD37:AD50" si="26">VLOOKUP(X37,$B$18:$H$22,7,FALSE)</f>
        <v>0</v>
      </c>
    </row>
    <row r="38" spans="1:30" x14ac:dyDescent="0.25">
      <c r="A38" s="112" t="str">
        <f>IF(OR($E$7="",$E$8=""),IF(AND(C38=$B$21,C38=$E$7),"E/F",IF(C38=$B$21,"E",IF(C38=$E$7,"F",""))))</f>
        <v/>
      </c>
      <c r="B38" s="70">
        <v>34</v>
      </c>
      <c r="C38" s="70">
        <v>3</v>
      </c>
      <c r="D38" s="37">
        <v>22</v>
      </c>
      <c r="E38" s="76">
        <f t="shared" si="6"/>
        <v>0.9285714285714286</v>
      </c>
      <c r="F38" s="77" t="str">
        <f t="shared" si="7"/>
        <v/>
      </c>
      <c r="G38" s="78" t="str">
        <f t="shared" si="8"/>
        <v/>
      </c>
      <c r="H38" s="78" t="str">
        <f t="shared" si="9"/>
        <v/>
      </c>
      <c r="I38" s="78" t="str">
        <f t="shared" si="10"/>
        <v/>
      </c>
      <c r="J38" s="113" t="str">
        <f t="shared" si="11"/>
        <v/>
      </c>
      <c r="K38" s="77" t="str">
        <f t="shared" si="12"/>
        <v/>
      </c>
      <c r="L38" s="80" t="str">
        <f t="shared" si="13"/>
        <v/>
      </c>
      <c r="M38" s="78" t="str">
        <f t="shared" si="14"/>
        <v/>
      </c>
      <c r="N38" s="79" t="str">
        <f t="shared" ref="N38:N50" si="27">IF($W$33&gt;0,"",IF(AND(C38&lt;$E$8,$I$8=""),K38*$K$8,IF(AND(C38&lt;$E$8,$I$8&gt;0),K38*$I$8,IF(AND(C38&lt;$E$7,$I$8=""),D38*(G38/I38+J38*$K$8),IF(AND(C38&lt;$E$7,$I$8&gt;0),D38*(G38/I38+J38*$I$8),K38/I38)))))</f>
        <v/>
      </c>
      <c r="O38" s="77" t="str">
        <f t="shared" si="15"/>
        <v/>
      </c>
      <c r="P38" s="78" t="str">
        <f t="shared" si="16"/>
        <v/>
      </c>
      <c r="Q38" s="79" t="str">
        <f t="shared" si="17"/>
        <v/>
      </c>
      <c r="R38" s="81"/>
      <c r="S38" s="22"/>
      <c r="T38" s="22"/>
      <c r="V38" s="25">
        <f t="shared" si="18"/>
        <v>0</v>
      </c>
      <c r="W38" s="25">
        <f t="shared" si="19"/>
        <v>2</v>
      </c>
      <c r="X38" s="25">
        <f t="shared" si="20"/>
        <v>7</v>
      </c>
      <c r="Y38" s="25">
        <f t="shared" si="21"/>
        <v>0</v>
      </c>
      <c r="Z38" s="82">
        <f t="shared" si="22"/>
        <v>0</v>
      </c>
      <c r="AA38" s="25">
        <f t="shared" si="23"/>
        <v>0</v>
      </c>
      <c r="AB38" s="82">
        <f t="shared" si="24"/>
        <v>0</v>
      </c>
      <c r="AC38" s="25">
        <f t="shared" si="25"/>
        <v>0</v>
      </c>
      <c r="AD38" s="82">
        <f t="shared" si="26"/>
        <v>0</v>
      </c>
    </row>
    <row r="39" spans="1:30" x14ac:dyDescent="0.25">
      <c r="A39" s="112" t="str">
        <f t="shared" ref="A39:A41" si="28">IF(OR($E$7="",$E$8=""),IF(AND(C39=$B$21,C39=$E$7),"E/F",IF(C39=$B$21,"E",IF(C39=$E$7,"F",""))))</f>
        <v/>
      </c>
      <c r="B39" s="70">
        <v>35</v>
      </c>
      <c r="C39" s="70">
        <v>4</v>
      </c>
      <c r="D39" s="37">
        <v>63</v>
      </c>
      <c r="E39" s="76">
        <f t="shared" si="6"/>
        <v>0.8571428571428571</v>
      </c>
      <c r="F39" s="77" t="str">
        <f t="shared" si="7"/>
        <v/>
      </c>
      <c r="G39" s="78" t="str">
        <f t="shared" si="8"/>
        <v/>
      </c>
      <c r="H39" s="78" t="str">
        <f t="shared" si="9"/>
        <v/>
      </c>
      <c r="I39" s="78" t="str">
        <f t="shared" si="10"/>
        <v/>
      </c>
      <c r="J39" s="113" t="str">
        <f t="shared" si="11"/>
        <v/>
      </c>
      <c r="K39" s="77" t="str">
        <f t="shared" si="12"/>
        <v/>
      </c>
      <c r="L39" s="80" t="str">
        <f t="shared" si="13"/>
        <v/>
      </c>
      <c r="M39" s="78" t="str">
        <f t="shared" si="14"/>
        <v/>
      </c>
      <c r="N39" s="79" t="str">
        <f t="shared" si="27"/>
        <v/>
      </c>
      <c r="O39" s="77" t="str">
        <f t="shared" si="15"/>
        <v/>
      </c>
      <c r="P39" s="78" t="str">
        <f t="shared" si="16"/>
        <v/>
      </c>
      <c r="Q39" s="79" t="str">
        <f t="shared" si="17"/>
        <v/>
      </c>
      <c r="R39" s="81"/>
      <c r="S39" s="22"/>
      <c r="T39" s="22"/>
      <c r="V39" s="25">
        <f t="shared" si="18"/>
        <v>0</v>
      </c>
      <c r="W39" s="25">
        <f t="shared" si="19"/>
        <v>2</v>
      </c>
      <c r="X39" s="25">
        <f t="shared" si="20"/>
        <v>7</v>
      </c>
      <c r="Y39" s="25">
        <f t="shared" si="21"/>
        <v>0</v>
      </c>
      <c r="Z39" s="82">
        <f t="shared" si="22"/>
        <v>0</v>
      </c>
      <c r="AA39" s="25">
        <f t="shared" si="23"/>
        <v>0</v>
      </c>
      <c r="AB39" s="82">
        <f t="shared" si="24"/>
        <v>0</v>
      </c>
      <c r="AC39" s="25">
        <f t="shared" si="25"/>
        <v>0</v>
      </c>
      <c r="AD39" s="82">
        <f t="shared" si="26"/>
        <v>0</v>
      </c>
    </row>
    <row r="40" spans="1:30" x14ac:dyDescent="0.25">
      <c r="A40" s="112" t="str">
        <f t="shared" si="28"/>
        <v/>
      </c>
      <c r="B40" s="70">
        <v>36</v>
      </c>
      <c r="C40" s="70">
        <v>5</v>
      </c>
      <c r="D40" s="37">
        <v>63</v>
      </c>
      <c r="E40" s="76">
        <f t="shared" si="6"/>
        <v>0.7857142857142857</v>
      </c>
      <c r="F40" s="77" t="str">
        <f t="shared" si="7"/>
        <v/>
      </c>
      <c r="G40" s="78" t="str">
        <f t="shared" si="8"/>
        <v/>
      </c>
      <c r="H40" s="78" t="str">
        <f t="shared" si="9"/>
        <v/>
      </c>
      <c r="I40" s="78" t="str">
        <f t="shared" si="10"/>
        <v/>
      </c>
      <c r="J40" s="113" t="str">
        <f t="shared" si="11"/>
        <v/>
      </c>
      <c r="K40" s="77" t="str">
        <f t="shared" si="12"/>
        <v/>
      </c>
      <c r="L40" s="80" t="str">
        <f t="shared" si="13"/>
        <v/>
      </c>
      <c r="M40" s="78" t="str">
        <f t="shared" si="14"/>
        <v/>
      </c>
      <c r="N40" s="79" t="str">
        <f t="shared" si="27"/>
        <v/>
      </c>
      <c r="O40" s="77" t="str">
        <f t="shared" si="15"/>
        <v/>
      </c>
      <c r="P40" s="78" t="str">
        <f t="shared" si="16"/>
        <v/>
      </c>
      <c r="Q40" s="79" t="str">
        <f t="shared" si="17"/>
        <v/>
      </c>
      <c r="R40" s="81"/>
      <c r="S40" s="22"/>
      <c r="T40" s="22"/>
      <c r="V40" s="25">
        <f t="shared" si="18"/>
        <v>0</v>
      </c>
      <c r="W40" s="25">
        <f t="shared" si="19"/>
        <v>2</v>
      </c>
      <c r="X40" s="25">
        <f t="shared" si="20"/>
        <v>7</v>
      </c>
      <c r="Y40" s="25">
        <f t="shared" si="21"/>
        <v>0</v>
      </c>
      <c r="Z40" s="82">
        <f t="shared" si="22"/>
        <v>0</v>
      </c>
      <c r="AA40" s="25">
        <f t="shared" si="23"/>
        <v>0</v>
      </c>
      <c r="AB40" s="82">
        <f t="shared" si="24"/>
        <v>0</v>
      </c>
      <c r="AC40" s="25">
        <f t="shared" si="25"/>
        <v>0</v>
      </c>
      <c r="AD40" s="82">
        <f t="shared" si="26"/>
        <v>0</v>
      </c>
    </row>
    <row r="41" spans="1:30" x14ac:dyDescent="0.25">
      <c r="A41" s="112" t="str">
        <f t="shared" si="28"/>
        <v/>
      </c>
      <c r="B41" s="70">
        <v>37</v>
      </c>
      <c r="C41" s="70">
        <v>6</v>
      </c>
      <c r="D41" s="37">
        <v>175</v>
      </c>
      <c r="E41" s="76">
        <f t="shared" si="6"/>
        <v>0.7142857142857143</v>
      </c>
      <c r="F41" s="77" t="str">
        <f t="shared" si="7"/>
        <v/>
      </c>
      <c r="G41" s="78" t="str">
        <f t="shared" si="8"/>
        <v/>
      </c>
      <c r="H41" s="78" t="str">
        <f t="shared" si="9"/>
        <v/>
      </c>
      <c r="I41" s="78" t="str">
        <f t="shared" si="10"/>
        <v/>
      </c>
      <c r="J41" s="113" t="str">
        <f t="shared" si="11"/>
        <v/>
      </c>
      <c r="K41" s="77" t="str">
        <f t="shared" si="12"/>
        <v/>
      </c>
      <c r="L41" s="80" t="str">
        <f t="shared" si="13"/>
        <v/>
      </c>
      <c r="M41" s="78" t="str">
        <f t="shared" si="14"/>
        <v/>
      </c>
      <c r="N41" s="79" t="str">
        <f t="shared" si="27"/>
        <v/>
      </c>
      <c r="O41" s="77" t="str">
        <f t="shared" si="15"/>
        <v/>
      </c>
      <c r="P41" s="78" t="str">
        <f t="shared" si="16"/>
        <v/>
      </c>
      <c r="Q41" s="79" t="str">
        <f t="shared" si="17"/>
        <v/>
      </c>
      <c r="R41" s="81"/>
      <c r="S41" s="22"/>
      <c r="T41" s="22"/>
      <c r="V41" s="25">
        <f t="shared" si="18"/>
        <v>0</v>
      </c>
      <c r="W41" s="25">
        <f t="shared" si="19"/>
        <v>2</v>
      </c>
      <c r="X41" s="25">
        <f t="shared" si="20"/>
        <v>7</v>
      </c>
      <c r="Y41" s="25">
        <f t="shared" si="21"/>
        <v>0</v>
      </c>
      <c r="Z41" s="82">
        <f t="shared" si="22"/>
        <v>0</v>
      </c>
      <c r="AA41" s="25">
        <f t="shared" si="23"/>
        <v>0</v>
      </c>
      <c r="AB41" s="82">
        <f t="shared" si="24"/>
        <v>0</v>
      </c>
      <c r="AC41" s="25">
        <f t="shared" si="25"/>
        <v>0</v>
      </c>
      <c r="AD41" s="82">
        <f t="shared" si="26"/>
        <v>0</v>
      </c>
    </row>
    <row r="42" spans="1:30" x14ac:dyDescent="0.25">
      <c r="A42" s="112" t="str">
        <f>IF(AND(C42=$B$21,C42=$E$7,C42=7),"C/E/F",IF(C42=$B$21,"C/E",IF(C42=$E$7,"C/F","C")))</f>
        <v>C</v>
      </c>
      <c r="B42" s="70">
        <v>38</v>
      </c>
      <c r="C42" s="70">
        <v>7</v>
      </c>
      <c r="D42" s="37">
        <v>162</v>
      </c>
      <c r="E42" s="76">
        <f t="shared" si="6"/>
        <v>0.6428571428571429</v>
      </c>
      <c r="F42" s="77" t="str">
        <f t="shared" si="7"/>
        <v/>
      </c>
      <c r="G42" s="78" t="str">
        <f t="shared" si="8"/>
        <v/>
      </c>
      <c r="H42" s="78" t="str">
        <f t="shared" si="9"/>
        <v/>
      </c>
      <c r="I42" s="78" t="str">
        <f t="shared" si="10"/>
        <v/>
      </c>
      <c r="J42" s="113" t="str">
        <f t="shared" si="11"/>
        <v/>
      </c>
      <c r="K42" s="77" t="str">
        <f t="shared" si="12"/>
        <v/>
      </c>
      <c r="L42" s="80" t="str">
        <f t="shared" si="13"/>
        <v/>
      </c>
      <c r="M42" s="78" t="str">
        <f t="shared" si="14"/>
        <v/>
      </c>
      <c r="N42" s="79" t="str">
        <f t="shared" si="27"/>
        <v/>
      </c>
      <c r="O42" s="77" t="str">
        <f t="shared" si="15"/>
        <v/>
      </c>
      <c r="P42" s="78" t="str">
        <f t="shared" si="16"/>
        <v/>
      </c>
      <c r="Q42" s="79" t="str">
        <f t="shared" si="17"/>
        <v/>
      </c>
      <c r="R42" s="81"/>
      <c r="S42" s="22"/>
      <c r="T42" s="22"/>
      <c r="V42" s="25">
        <f t="shared" si="18"/>
        <v>1</v>
      </c>
      <c r="W42" s="25">
        <f t="shared" si="19"/>
        <v>7</v>
      </c>
      <c r="X42" s="25">
        <f t="shared" si="20"/>
        <v>7</v>
      </c>
      <c r="Y42" s="25">
        <f t="shared" si="21"/>
        <v>0</v>
      </c>
      <c r="Z42" s="82">
        <f t="shared" si="22"/>
        <v>0</v>
      </c>
      <c r="AA42" s="25">
        <f t="shared" si="23"/>
        <v>0</v>
      </c>
      <c r="AB42" s="82">
        <f t="shared" si="24"/>
        <v>0</v>
      </c>
      <c r="AC42" s="25">
        <f t="shared" si="25"/>
        <v>0</v>
      </c>
      <c r="AD42" s="82">
        <f t="shared" si="26"/>
        <v>0</v>
      </c>
    </row>
    <row r="43" spans="1:30" x14ac:dyDescent="0.25">
      <c r="A43" s="112"/>
      <c r="B43" s="70">
        <v>39</v>
      </c>
      <c r="C43" s="70">
        <v>8</v>
      </c>
      <c r="D43" s="37">
        <v>259</v>
      </c>
      <c r="E43" s="76">
        <f t="shared" si="6"/>
        <v>0.5714285714285714</v>
      </c>
      <c r="F43" s="77" t="str">
        <f t="shared" si="7"/>
        <v/>
      </c>
      <c r="G43" s="78" t="str">
        <f t="shared" si="8"/>
        <v/>
      </c>
      <c r="H43" s="78" t="str">
        <f t="shared" si="9"/>
        <v/>
      </c>
      <c r="I43" s="78" t="str">
        <f t="shared" si="10"/>
        <v/>
      </c>
      <c r="J43" s="113" t="str">
        <f t="shared" si="11"/>
        <v/>
      </c>
      <c r="K43" s="77" t="str">
        <f t="shared" si="12"/>
        <v/>
      </c>
      <c r="L43" s="80" t="str">
        <f t="shared" si="13"/>
        <v/>
      </c>
      <c r="M43" s="78" t="str">
        <f t="shared" si="14"/>
        <v/>
      </c>
      <c r="N43" s="79" t="str">
        <f t="shared" si="27"/>
        <v/>
      </c>
      <c r="O43" s="77" t="str">
        <f t="shared" si="15"/>
        <v/>
      </c>
      <c r="P43" s="78" t="str">
        <f t="shared" si="16"/>
        <v/>
      </c>
      <c r="Q43" s="79" t="str">
        <f t="shared" si="17"/>
        <v/>
      </c>
      <c r="R43" s="81"/>
      <c r="S43" s="22"/>
      <c r="T43" s="22"/>
      <c r="V43" s="25">
        <f t="shared" si="18"/>
        <v>0</v>
      </c>
      <c r="W43" s="25">
        <f t="shared" si="19"/>
        <v>7</v>
      </c>
      <c r="X43" s="25">
        <f t="shared" si="20"/>
        <v>12</v>
      </c>
      <c r="Y43" s="25">
        <f t="shared" si="21"/>
        <v>0</v>
      </c>
      <c r="Z43" s="82">
        <f t="shared" si="22"/>
        <v>0</v>
      </c>
      <c r="AA43" s="25">
        <f t="shared" si="23"/>
        <v>0</v>
      </c>
      <c r="AB43" s="82">
        <f t="shared" si="24"/>
        <v>0</v>
      </c>
      <c r="AC43" s="25">
        <f t="shared" si="25"/>
        <v>0</v>
      </c>
      <c r="AD43" s="82">
        <f t="shared" si="26"/>
        <v>0</v>
      </c>
    </row>
    <row r="44" spans="1:30" x14ac:dyDescent="0.25">
      <c r="A44" s="112"/>
      <c r="B44" s="70">
        <v>40</v>
      </c>
      <c r="C44" s="70">
        <v>9</v>
      </c>
      <c r="D44" s="37">
        <v>360</v>
      </c>
      <c r="E44" s="76">
        <f t="shared" si="6"/>
        <v>0.5</v>
      </c>
      <c r="F44" s="77" t="str">
        <f t="shared" si="7"/>
        <v/>
      </c>
      <c r="G44" s="78" t="str">
        <f t="shared" si="8"/>
        <v/>
      </c>
      <c r="H44" s="78" t="str">
        <f t="shared" si="9"/>
        <v/>
      </c>
      <c r="I44" s="78" t="str">
        <f t="shared" si="10"/>
        <v/>
      </c>
      <c r="J44" s="113" t="str">
        <f t="shared" si="11"/>
        <v/>
      </c>
      <c r="K44" s="77" t="str">
        <f t="shared" si="12"/>
        <v/>
      </c>
      <c r="L44" s="80" t="str">
        <f t="shared" si="13"/>
        <v/>
      </c>
      <c r="M44" s="78" t="str">
        <f t="shared" si="14"/>
        <v/>
      </c>
      <c r="N44" s="79" t="str">
        <f t="shared" si="27"/>
        <v/>
      </c>
      <c r="O44" s="77" t="str">
        <f t="shared" si="15"/>
        <v/>
      </c>
      <c r="P44" s="78" t="str">
        <f t="shared" si="16"/>
        <v/>
      </c>
      <c r="Q44" s="79" t="str">
        <f t="shared" si="17"/>
        <v/>
      </c>
      <c r="R44" s="81"/>
      <c r="S44" s="22"/>
      <c r="T44" s="22"/>
      <c r="V44" s="25">
        <f t="shared" si="18"/>
        <v>0</v>
      </c>
      <c r="W44" s="25">
        <f t="shared" si="19"/>
        <v>7</v>
      </c>
      <c r="X44" s="25">
        <f t="shared" si="20"/>
        <v>12</v>
      </c>
      <c r="Y44" s="25">
        <f t="shared" si="21"/>
        <v>0</v>
      </c>
      <c r="Z44" s="82">
        <f t="shared" si="22"/>
        <v>0</v>
      </c>
      <c r="AA44" s="25">
        <f t="shared" si="23"/>
        <v>0</v>
      </c>
      <c r="AB44" s="82">
        <f t="shared" si="24"/>
        <v>0</v>
      </c>
      <c r="AC44" s="25">
        <f t="shared" si="25"/>
        <v>0</v>
      </c>
      <c r="AD44" s="82">
        <f t="shared" si="26"/>
        <v>0</v>
      </c>
    </row>
    <row r="45" spans="1:30" x14ac:dyDescent="0.25">
      <c r="A45" s="112"/>
      <c r="B45" s="70">
        <v>41</v>
      </c>
      <c r="C45" s="70">
        <v>10</v>
      </c>
      <c r="D45" s="37">
        <v>428</v>
      </c>
      <c r="E45" s="76">
        <f t="shared" si="6"/>
        <v>0.42857142857142855</v>
      </c>
      <c r="F45" s="77" t="str">
        <f t="shared" si="7"/>
        <v/>
      </c>
      <c r="G45" s="78" t="str">
        <f t="shared" si="8"/>
        <v/>
      </c>
      <c r="H45" s="78" t="str">
        <f t="shared" si="9"/>
        <v/>
      </c>
      <c r="I45" s="78" t="str">
        <f t="shared" si="10"/>
        <v/>
      </c>
      <c r="J45" s="113" t="str">
        <f t="shared" si="11"/>
        <v/>
      </c>
      <c r="K45" s="77" t="str">
        <f t="shared" si="12"/>
        <v/>
      </c>
      <c r="L45" s="80" t="str">
        <f t="shared" si="13"/>
        <v/>
      </c>
      <c r="M45" s="78" t="str">
        <f t="shared" si="14"/>
        <v/>
      </c>
      <c r="N45" s="79" t="str">
        <f t="shared" si="27"/>
        <v/>
      </c>
      <c r="O45" s="77" t="str">
        <f t="shared" si="15"/>
        <v/>
      </c>
      <c r="P45" s="78" t="str">
        <f t="shared" si="16"/>
        <v/>
      </c>
      <c r="Q45" s="79" t="str">
        <f t="shared" si="17"/>
        <v/>
      </c>
      <c r="R45" s="81"/>
      <c r="S45" s="22"/>
      <c r="T45" s="22"/>
      <c r="V45" s="25">
        <f t="shared" si="18"/>
        <v>0</v>
      </c>
      <c r="W45" s="25">
        <f t="shared" si="19"/>
        <v>7</v>
      </c>
      <c r="X45" s="25">
        <f t="shared" si="20"/>
        <v>12</v>
      </c>
      <c r="Y45" s="25">
        <f t="shared" si="21"/>
        <v>0</v>
      </c>
      <c r="Z45" s="82">
        <f t="shared" si="22"/>
        <v>0</v>
      </c>
      <c r="AA45" s="25">
        <f t="shared" si="23"/>
        <v>0</v>
      </c>
      <c r="AB45" s="82">
        <f t="shared" si="24"/>
        <v>0</v>
      </c>
      <c r="AC45" s="25">
        <f t="shared" si="25"/>
        <v>0</v>
      </c>
      <c r="AD45" s="82">
        <f t="shared" si="26"/>
        <v>0</v>
      </c>
    </row>
    <row r="46" spans="1:30" x14ac:dyDescent="0.25">
      <c r="A46" s="112"/>
      <c r="B46" s="70">
        <v>42</v>
      </c>
      <c r="C46" s="70">
        <v>11</v>
      </c>
      <c r="D46" s="37">
        <v>430</v>
      </c>
      <c r="E46" s="76">
        <f t="shared" si="6"/>
        <v>0.35714285714285715</v>
      </c>
      <c r="F46" s="77" t="str">
        <f t="shared" si="7"/>
        <v/>
      </c>
      <c r="G46" s="78" t="str">
        <f t="shared" si="8"/>
        <v/>
      </c>
      <c r="H46" s="78" t="str">
        <f t="shared" si="9"/>
        <v/>
      </c>
      <c r="I46" s="78" t="str">
        <f t="shared" si="10"/>
        <v/>
      </c>
      <c r="J46" s="113" t="str">
        <f t="shared" si="11"/>
        <v/>
      </c>
      <c r="K46" s="77" t="str">
        <f t="shared" si="12"/>
        <v/>
      </c>
      <c r="L46" s="80" t="str">
        <f t="shared" si="13"/>
        <v/>
      </c>
      <c r="M46" s="78" t="str">
        <f t="shared" si="14"/>
        <v/>
      </c>
      <c r="N46" s="79" t="str">
        <f t="shared" si="27"/>
        <v/>
      </c>
      <c r="O46" s="77" t="str">
        <f t="shared" si="15"/>
        <v/>
      </c>
      <c r="P46" s="78" t="str">
        <f t="shared" si="16"/>
        <v/>
      </c>
      <c r="Q46" s="79" t="str">
        <f t="shared" si="17"/>
        <v/>
      </c>
      <c r="R46" s="81"/>
      <c r="S46" s="22"/>
      <c r="T46" s="22"/>
      <c r="V46" s="25">
        <f t="shared" si="18"/>
        <v>0</v>
      </c>
      <c r="W46" s="25">
        <f t="shared" si="19"/>
        <v>7</v>
      </c>
      <c r="X46" s="25">
        <f t="shared" si="20"/>
        <v>12</v>
      </c>
      <c r="Y46" s="25">
        <f t="shared" si="21"/>
        <v>0</v>
      </c>
      <c r="Z46" s="82">
        <f t="shared" si="22"/>
        <v>0</v>
      </c>
      <c r="AA46" s="25">
        <f t="shared" si="23"/>
        <v>0</v>
      </c>
      <c r="AB46" s="82">
        <f t="shared" si="24"/>
        <v>0</v>
      </c>
      <c r="AC46" s="25">
        <f t="shared" si="25"/>
        <v>0</v>
      </c>
      <c r="AD46" s="82">
        <f t="shared" si="26"/>
        <v>0</v>
      </c>
    </row>
    <row r="47" spans="1:30" x14ac:dyDescent="0.25">
      <c r="A47" s="112" t="s">
        <v>45</v>
      </c>
      <c r="B47" s="70">
        <v>43</v>
      </c>
      <c r="C47" s="70">
        <v>12</v>
      </c>
      <c r="D47" s="37">
        <v>503</v>
      </c>
      <c r="E47" s="76">
        <f t="shared" si="6"/>
        <v>0.2857142857142857</v>
      </c>
      <c r="F47" s="77" t="str">
        <f t="shared" si="7"/>
        <v/>
      </c>
      <c r="G47" s="78" t="str">
        <f t="shared" si="8"/>
        <v/>
      </c>
      <c r="H47" s="78" t="str">
        <f t="shared" si="9"/>
        <v/>
      </c>
      <c r="I47" s="78" t="str">
        <f t="shared" si="10"/>
        <v/>
      </c>
      <c r="J47" s="113" t="str">
        <f t="shared" si="11"/>
        <v/>
      </c>
      <c r="K47" s="77" t="str">
        <f t="shared" si="12"/>
        <v/>
      </c>
      <c r="L47" s="80" t="str">
        <f t="shared" si="13"/>
        <v/>
      </c>
      <c r="M47" s="78" t="str">
        <f t="shared" si="14"/>
        <v/>
      </c>
      <c r="N47" s="79" t="str">
        <f t="shared" si="27"/>
        <v/>
      </c>
      <c r="O47" s="77" t="str">
        <f t="shared" si="15"/>
        <v/>
      </c>
      <c r="P47" s="78" t="str">
        <f t="shared" si="16"/>
        <v/>
      </c>
      <c r="Q47" s="79" t="str">
        <f t="shared" si="17"/>
        <v/>
      </c>
      <c r="R47" s="81"/>
      <c r="S47" s="22"/>
      <c r="T47" s="22"/>
      <c r="V47" s="25">
        <f t="shared" si="18"/>
        <v>1</v>
      </c>
      <c r="W47" s="25">
        <f t="shared" si="19"/>
        <v>12</v>
      </c>
      <c r="X47" s="25">
        <f t="shared" si="20"/>
        <v>12</v>
      </c>
      <c r="Y47" s="25">
        <f t="shared" si="21"/>
        <v>0</v>
      </c>
      <c r="Z47" s="82">
        <f t="shared" si="22"/>
        <v>0</v>
      </c>
      <c r="AA47" s="25">
        <f t="shared" si="23"/>
        <v>0</v>
      </c>
      <c r="AB47" s="82">
        <f t="shared" si="24"/>
        <v>0</v>
      </c>
      <c r="AC47" s="25">
        <f t="shared" si="25"/>
        <v>0</v>
      </c>
      <c r="AD47" s="82">
        <f t="shared" si="26"/>
        <v>0</v>
      </c>
    </row>
    <row r="48" spans="1:30" x14ac:dyDescent="0.25">
      <c r="A48" s="112"/>
      <c r="B48" s="70">
        <v>44</v>
      </c>
      <c r="C48" s="70">
        <v>13</v>
      </c>
      <c r="D48" s="37">
        <v>444</v>
      </c>
      <c r="E48" s="76">
        <f t="shared" si="6"/>
        <v>0.21428571428571427</v>
      </c>
      <c r="F48" s="77" t="str">
        <f t="shared" si="7"/>
        <v/>
      </c>
      <c r="G48" s="78" t="str">
        <f t="shared" si="8"/>
        <v/>
      </c>
      <c r="H48" s="78" t="str">
        <f t="shared" si="9"/>
        <v/>
      </c>
      <c r="I48" s="78" t="str">
        <f t="shared" si="10"/>
        <v/>
      </c>
      <c r="J48" s="113" t="str">
        <f t="shared" si="11"/>
        <v/>
      </c>
      <c r="K48" s="77" t="str">
        <f t="shared" si="12"/>
        <v/>
      </c>
      <c r="L48" s="80" t="str">
        <f t="shared" si="13"/>
        <v/>
      </c>
      <c r="M48" s="78" t="str">
        <f t="shared" si="14"/>
        <v/>
      </c>
      <c r="N48" s="79" t="str">
        <f t="shared" si="27"/>
        <v/>
      </c>
      <c r="O48" s="77" t="str">
        <f t="shared" si="15"/>
        <v/>
      </c>
      <c r="P48" s="78" t="str">
        <f t="shared" si="16"/>
        <v/>
      </c>
      <c r="Q48" s="79" t="str">
        <f t="shared" si="17"/>
        <v/>
      </c>
      <c r="R48" s="81"/>
      <c r="S48" s="22"/>
      <c r="T48" s="22"/>
      <c r="V48" s="25">
        <f t="shared" si="18"/>
        <v>0</v>
      </c>
      <c r="W48" s="25">
        <v>7</v>
      </c>
      <c r="X48" s="25">
        <f t="shared" si="20"/>
        <v>12</v>
      </c>
      <c r="Y48" s="25">
        <f t="shared" si="21"/>
        <v>0</v>
      </c>
      <c r="Z48" s="82">
        <f t="shared" si="22"/>
        <v>0</v>
      </c>
      <c r="AA48" s="25">
        <f t="shared" si="23"/>
        <v>0</v>
      </c>
      <c r="AB48" s="82">
        <f t="shared" si="24"/>
        <v>0</v>
      </c>
      <c r="AC48" s="25">
        <f t="shared" si="25"/>
        <v>0</v>
      </c>
      <c r="AD48" s="82">
        <f t="shared" si="26"/>
        <v>0</v>
      </c>
    </row>
    <row r="49" spans="1:43" x14ac:dyDescent="0.25">
      <c r="A49" s="112"/>
      <c r="B49" s="70">
        <v>45</v>
      </c>
      <c r="C49" s="70">
        <v>14</v>
      </c>
      <c r="D49" s="37">
        <v>384</v>
      </c>
      <c r="E49" s="76">
        <f t="shared" si="6"/>
        <v>0.14285714285714285</v>
      </c>
      <c r="F49" s="77" t="str">
        <f t="shared" si="7"/>
        <v/>
      </c>
      <c r="G49" s="78" t="str">
        <f t="shared" si="8"/>
        <v/>
      </c>
      <c r="H49" s="78" t="str">
        <f t="shared" si="9"/>
        <v/>
      </c>
      <c r="I49" s="78" t="str">
        <f t="shared" si="10"/>
        <v/>
      </c>
      <c r="J49" s="113" t="str">
        <f t="shared" si="11"/>
        <v/>
      </c>
      <c r="K49" s="77" t="str">
        <f t="shared" si="12"/>
        <v/>
      </c>
      <c r="L49" s="80" t="str">
        <f t="shared" si="13"/>
        <v/>
      </c>
      <c r="M49" s="78" t="str">
        <f t="shared" si="14"/>
        <v/>
      </c>
      <c r="N49" s="79" t="str">
        <f t="shared" si="27"/>
        <v/>
      </c>
      <c r="O49" s="77" t="str">
        <f t="shared" si="15"/>
        <v/>
      </c>
      <c r="P49" s="78" t="str">
        <f t="shared" si="16"/>
        <v/>
      </c>
      <c r="Q49" s="79" t="str">
        <f t="shared" si="17"/>
        <v/>
      </c>
      <c r="R49" s="81"/>
      <c r="S49" s="22"/>
      <c r="T49" s="22"/>
      <c r="V49" s="25">
        <f t="shared" si="18"/>
        <v>0</v>
      </c>
      <c r="W49" s="25">
        <f>IF(V49=0,W48,C49)</f>
        <v>7</v>
      </c>
      <c r="X49" s="25">
        <f t="shared" si="20"/>
        <v>12</v>
      </c>
      <c r="Y49" s="25">
        <f t="shared" si="21"/>
        <v>0</v>
      </c>
      <c r="Z49" s="82">
        <f t="shared" si="22"/>
        <v>0</v>
      </c>
      <c r="AA49" s="25">
        <f t="shared" si="23"/>
        <v>0</v>
      </c>
      <c r="AB49" s="82">
        <f t="shared" si="24"/>
        <v>0</v>
      </c>
      <c r="AC49" s="25">
        <f t="shared" si="25"/>
        <v>0</v>
      </c>
      <c r="AD49" s="82">
        <f t="shared" si="26"/>
        <v>0</v>
      </c>
    </row>
    <row r="50" spans="1:43" ht="18.75" thickBot="1" x14ac:dyDescent="0.3">
      <c r="A50" s="114"/>
      <c r="B50" s="84">
        <v>46</v>
      </c>
      <c r="C50" s="84">
        <v>15</v>
      </c>
      <c r="D50" s="115">
        <v>294</v>
      </c>
      <c r="E50" s="85">
        <f t="shared" si="6"/>
        <v>7.1428571428571425E-2</v>
      </c>
      <c r="F50" s="86" t="str">
        <f t="shared" si="7"/>
        <v/>
      </c>
      <c r="G50" s="87" t="str">
        <f t="shared" si="8"/>
        <v/>
      </c>
      <c r="H50" s="87" t="str">
        <f t="shared" si="9"/>
        <v/>
      </c>
      <c r="I50" s="87" t="str">
        <f t="shared" si="10"/>
        <v/>
      </c>
      <c r="J50" s="116" t="str">
        <f t="shared" si="11"/>
        <v/>
      </c>
      <c r="K50" s="86" t="str">
        <f t="shared" si="12"/>
        <v/>
      </c>
      <c r="L50" s="89" t="str">
        <f t="shared" si="13"/>
        <v/>
      </c>
      <c r="M50" s="87" t="str">
        <f t="shared" si="14"/>
        <v/>
      </c>
      <c r="N50" s="88" t="str">
        <f t="shared" si="27"/>
        <v/>
      </c>
      <c r="O50" s="86" t="str">
        <f t="shared" si="15"/>
        <v/>
      </c>
      <c r="P50" s="87" t="str">
        <f t="shared" si="16"/>
        <v/>
      </c>
      <c r="Q50" s="88" t="str">
        <f t="shared" si="17"/>
        <v/>
      </c>
      <c r="R50" s="81"/>
      <c r="S50" s="22"/>
      <c r="T50" s="22"/>
      <c r="V50" s="25">
        <f t="shared" si="18"/>
        <v>0</v>
      </c>
      <c r="W50" s="25">
        <f>IF(V50=0,W49,C50)</f>
        <v>7</v>
      </c>
      <c r="X50" s="25">
        <v>12</v>
      </c>
      <c r="Y50" s="25">
        <f t="shared" si="21"/>
        <v>0</v>
      </c>
      <c r="Z50" s="82">
        <f t="shared" si="22"/>
        <v>0</v>
      </c>
      <c r="AA50" s="25">
        <f t="shared" si="23"/>
        <v>0</v>
      </c>
      <c r="AB50" s="82">
        <f t="shared" si="24"/>
        <v>0</v>
      </c>
      <c r="AC50" s="25">
        <f t="shared" si="25"/>
        <v>0</v>
      </c>
      <c r="AD50" s="82">
        <f t="shared" si="26"/>
        <v>0</v>
      </c>
    </row>
    <row r="51" spans="1:43" x14ac:dyDescent="0.25">
      <c r="A51" s="46"/>
      <c r="B51" s="46"/>
      <c r="C51" s="46"/>
      <c r="D51" s="90">
        <f>SUM(D37:D50)</f>
        <v>3590</v>
      </c>
      <c r="E51" s="90"/>
      <c r="F51" s="90"/>
      <c r="G51" s="91"/>
      <c r="H51" s="92"/>
      <c r="I51" s="90"/>
      <c r="J51" s="91"/>
      <c r="K51" s="91">
        <f t="shared" ref="K51:Q51" si="29">SUM(K37:K50)</f>
        <v>0</v>
      </c>
      <c r="L51" s="91">
        <f t="shared" si="29"/>
        <v>0</v>
      </c>
      <c r="M51" s="91">
        <f t="shared" si="29"/>
        <v>0</v>
      </c>
      <c r="N51" s="91">
        <f t="shared" si="29"/>
        <v>0</v>
      </c>
      <c r="O51" s="91">
        <f t="shared" si="29"/>
        <v>0</v>
      </c>
      <c r="P51" s="91">
        <f t="shared" si="29"/>
        <v>0</v>
      </c>
      <c r="Q51" s="91">
        <f t="shared" si="29"/>
        <v>0</v>
      </c>
      <c r="R51" s="22"/>
      <c r="S51" s="22"/>
      <c r="T51" s="22"/>
    </row>
    <row r="52" spans="1:43" x14ac:dyDescent="0.25">
      <c r="A52" s="46"/>
      <c r="B52" s="46"/>
      <c r="C52" s="46"/>
      <c r="D52" s="46"/>
      <c r="E52" s="46"/>
      <c r="F52" s="46"/>
      <c r="G52" s="46"/>
      <c r="H52" s="46"/>
      <c r="I52" s="46"/>
      <c r="J52" s="46"/>
      <c r="K52" s="46"/>
      <c r="L52" s="46"/>
      <c r="M52" s="46"/>
      <c r="N52" s="46"/>
      <c r="O52" s="46"/>
      <c r="P52" s="46"/>
      <c r="Q52" s="22"/>
      <c r="R52" s="22"/>
      <c r="S52" s="22"/>
      <c r="T52" s="22"/>
    </row>
    <row r="53" spans="1:43" x14ac:dyDescent="0.25">
      <c r="A53" s="21"/>
      <c r="B53" s="21"/>
      <c r="C53" s="21"/>
      <c r="D53" s="21"/>
      <c r="E53" s="21"/>
      <c r="F53" s="21"/>
      <c r="G53" s="21"/>
      <c r="H53" s="21"/>
      <c r="I53" s="21"/>
      <c r="J53" s="21"/>
      <c r="K53" s="21"/>
      <c r="L53" s="46"/>
      <c r="M53" s="46"/>
      <c r="N53" s="46"/>
      <c r="O53" s="46"/>
      <c r="P53" s="46"/>
      <c r="Q53" s="22"/>
      <c r="R53" s="22"/>
      <c r="S53" s="22"/>
      <c r="T53" s="22"/>
    </row>
    <row r="54" spans="1:43" x14ac:dyDescent="0.25">
      <c r="A54" s="21"/>
      <c r="B54" s="21"/>
      <c r="C54" s="21"/>
      <c r="D54" s="21"/>
      <c r="E54" s="21"/>
      <c r="F54" s="21"/>
      <c r="G54" s="21"/>
      <c r="H54" s="21"/>
      <c r="I54" s="21"/>
      <c r="J54" s="21"/>
      <c r="K54" s="21"/>
      <c r="L54" s="46"/>
      <c r="M54" s="46"/>
      <c r="N54" s="46"/>
      <c r="O54" s="46"/>
      <c r="P54" s="46"/>
      <c r="Q54" s="22"/>
      <c r="R54" s="22"/>
      <c r="S54" s="22"/>
      <c r="T54" s="22"/>
    </row>
    <row r="55" spans="1:43" x14ac:dyDescent="0.25">
      <c r="A55" s="21"/>
      <c r="B55" s="21"/>
      <c r="C55" s="21"/>
      <c r="D55" s="21"/>
      <c r="E55" s="21"/>
      <c r="F55" s="21"/>
      <c r="G55" s="21"/>
      <c r="H55" s="21"/>
      <c r="I55" s="21"/>
      <c r="J55" s="21"/>
      <c r="K55" s="21"/>
      <c r="L55" s="46"/>
      <c r="M55" s="46"/>
      <c r="N55" s="46"/>
      <c r="O55" s="46"/>
      <c r="P55" s="46"/>
      <c r="Q55" s="22"/>
      <c r="R55" s="22"/>
      <c r="S55" s="22"/>
      <c r="T55" s="22"/>
    </row>
    <row r="56" spans="1:43" x14ac:dyDescent="0.25">
      <c r="A56" s="21"/>
      <c r="B56" s="21"/>
      <c r="C56" s="21"/>
      <c r="D56" s="21"/>
      <c r="E56" s="21"/>
      <c r="F56" s="21"/>
      <c r="G56" s="21"/>
      <c r="H56" s="21"/>
      <c r="I56" s="21"/>
      <c r="J56" s="21"/>
      <c r="K56" s="21"/>
      <c r="L56" s="46"/>
      <c r="M56" s="46"/>
      <c r="N56" s="46"/>
      <c r="O56" s="46"/>
      <c r="P56" s="46"/>
      <c r="Q56" s="22"/>
      <c r="R56" s="22"/>
      <c r="S56" s="22"/>
      <c r="T56" s="22"/>
    </row>
    <row r="57" spans="1:43" x14ac:dyDescent="0.25">
      <c r="A57" s="21"/>
      <c r="B57" s="21"/>
      <c r="C57" s="21"/>
      <c r="D57" s="21"/>
      <c r="E57" s="21"/>
      <c r="F57" s="21"/>
      <c r="G57" s="21"/>
      <c r="H57" s="21"/>
      <c r="I57" s="21"/>
      <c r="J57" s="21"/>
      <c r="K57" s="21"/>
      <c r="L57" s="46"/>
      <c r="M57" s="46"/>
      <c r="N57" s="46"/>
      <c r="O57" s="46"/>
      <c r="P57" s="46"/>
      <c r="Q57" s="22"/>
      <c r="R57" s="22"/>
      <c r="S57" s="22"/>
      <c r="T57" s="22"/>
    </row>
    <row r="58" spans="1:43" x14ac:dyDescent="0.25">
      <c r="A58" s="21"/>
      <c r="B58" s="21"/>
      <c r="C58" s="21"/>
      <c r="D58" s="21"/>
      <c r="E58" s="21"/>
      <c r="F58" s="21"/>
      <c r="G58" s="21"/>
      <c r="H58" s="21"/>
      <c r="I58" s="21"/>
      <c r="J58" s="21"/>
      <c r="K58" s="21"/>
      <c r="L58" s="46"/>
      <c r="M58" s="46"/>
      <c r="N58" s="46"/>
      <c r="O58" s="46"/>
      <c r="P58" s="46"/>
      <c r="Q58" s="22"/>
      <c r="R58" s="22"/>
      <c r="S58" s="22"/>
      <c r="T58" s="22"/>
    </row>
    <row r="59" spans="1:43" s="27" customFormat="1" x14ac:dyDescent="0.25">
      <c r="A59" s="21"/>
      <c r="B59" s="21"/>
      <c r="C59" s="21"/>
      <c r="D59" s="93"/>
      <c r="E59" s="21"/>
      <c r="F59" s="21"/>
      <c r="G59" s="21"/>
      <c r="H59" s="21"/>
      <c r="I59" s="21"/>
      <c r="J59" s="21"/>
      <c r="K59" s="21"/>
      <c r="L59" s="46"/>
      <c r="M59" s="46"/>
      <c r="N59" s="46"/>
      <c r="O59" s="46"/>
      <c r="P59" s="46"/>
      <c r="Q59" s="22"/>
      <c r="R59" s="22"/>
      <c r="S59" s="21"/>
      <c r="T59" s="21"/>
      <c r="U59" s="146"/>
      <c r="V59" s="94"/>
      <c r="W59" s="94"/>
      <c r="X59" s="94"/>
      <c r="Y59" s="94"/>
      <c r="Z59" s="94"/>
      <c r="AA59" s="94"/>
      <c r="AB59" s="94"/>
      <c r="AC59" s="94"/>
      <c r="AD59" s="94"/>
      <c r="AE59" s="146"/>
      <c r="AF59" s="146"/>
      <c r="AG59" s="146"/>
      <c r="AH59" s="146"/>
      <c r="AI59" s="146"/>
      <c r="AJ59" s="146"/>
      <c r="AK59" s="146"/>
      <c r="AL59" s="146"/>
      <c r="AM59" s="146"/>
      <c r="AN59" s="139"/>
      <c r="AO59" s="139"/>
      <c r="AP59" s="139"/>
      <c r="AQ59" s="139"/>
    </row>
    <row r="60" spans="1:43" s="27" customFormat="1" x14ac:dyDescent="0.25">
      <c r="D60" s="95"/>
      <c r="L60" s="38"/>
      <c r="M60" s="38"/>
      <c r="N60" s="38"/>
      <c r="O60" s="38"/>
      <c r="P60" s="38"/>
      <c r="Q60" s="24"/>
      <c r="R60" s="22"/>
      <c r="U60" s="146"/>
      <c r="V60" s="94"/>
      <c r="W60" s="94"/>
      <c r="X60" s="94"/>
      <c r="Y60" s="94"/>
      <c r="Z60" s="94"/>
      <c r="AA60" s="94"/>
      <c r="AB60" s="94"/>
      <c r="AC60" s="94"/>
      <c r="AD60" s="94"/>
      <c r="AE60" s="146"/>
      <c r="AF60" s="146"/>
      <c r="AG60" s="146"/>
      <c r="AH60" s="146"/>
      <c r="AI60" s="146"/>
      <c r="AJ60" s="146"/>
      <c r="AK60" s="146"/>
      <c r="AL60" s="146"/>
      <c r="AM60" s="146"/>
      <c r="AN60" s="139"/>
      <c r="AO60" s="139"/>
      <c r="AP60" s="139"/>
      <c r="AQ60" s="139"/>
    </row>
    <row r="61" spans="1:43" s="27" customFormat="1" x14ac:dyDescent="0.25">
      <c r="D61" s="95"/>
      <c r="L61" s="38"/>
      <c r="M61" s="38"/>
      <c r="N61" s="38"/>
      <c r="O61" s="38"/>
      <c r="P61" s="38"/>
      <c r="Q61" s="24"/>
      <c r="R61" s="24"/>
      <c r="U61" s="146"/>
      <c r="V61" s="94"/>
      <c r="W61" s="94"/>
      <c r="X61" s="94"/>
      <c r="Y61" s="94"/>
      <c r="Z61" s="94"/>
      <c r="AA61" s="94"/>
      <c r="AB61" s="94"/>
      <c r="AC61" s="94"/>
      <c r="AD61" s="94"/>
      <c r="AE61" s="146"/>
      <c r="AF61" s="146"/>
      <c r="AG61" s="146"/>
      <c r="AH61" s="146"/>
      <c r="AI61" s="146"/>
      <c r="AJ61" s="146"/>
      <c r="AK61" s="146"/>
      <c r="AL61" s="146"/>
      <c r="AM61" s="146"/>
      <c r="AN61" s="139"/>
      <c r="AO61" s="139"/>
      <c r="AP61" s="139"/>
      <c r="AQ61" s="139"/>
    </row>
    <row r="62" spans="1:43" s="27" customFormat="1" x14ac:dyDescent="0.25">
      <c r="D62" s="95"/>
      <c r="L62" s="38"/>
      <c r="M62" s="38"/>
      <c r="N62" s="38"/>
      <c r="O62" s="38"/>
      <c r="P62" s="38"/>
      <c r="Q62" s="24"/>
      <c r="R62" s="24"/>
      <c r="U62" s="146"/>
      <c r="V62" s="94"/>
      <c r="W62" s="94"/>
      <c r="X62" s="94"/>
      <c r="Y62" s="94"/>
      <c r="Z62" s="94"/>
      <c r="AA62" s="94"/>
      <c r="AB62" s="94"/>
      <c r="AC62" s="94"/>
      <c r="AD62" s="94"/>
      <c r="AE62" s="146"/>
      <c r="AF62" s="146"/>
      <c r="AG62" s="146"/>
      <c r="AH62" s="146"/>
      <c r="AI62" s="146"/>
      <c r="AJ62" s="146"/>
      <c r="AK62" s="146"/>
      <c r="AL62" s="146"/>
      <c r="AM62" s="146"/>
      <c r="AN62" s="139"/>
      <c r="AO62" s="139"/>
      <c r="AP62" s="139"/>
      <c r="AQ62" s="139"/>
    </row>
  </sheetData>
  <sheetProtection algorithmName="SHA-512" hashValue="xGvAOJmYsCew0kWckSVxqsoAEj1WjlA+jkp5D3T6abHYjBkq55YuIT9qixTD/GPKvwN91ByKeYPYAXLGcDwuog==" saltValue="gfYPpKAi4PKyx07Vub8VxQ==" spinCount="100000" sheet="1" objects="1" scenarios="1"/>
  <mergeCells count="14">
    <mergeCell ref="H2:K2"/>
    <mergeCell ref="M2:P2"/>
    <mergeCell ref="A3:B3"/>
    <mergeCell ref="D3:F3"/>
    <mergeCell ref="H3:K3"/>
    <mergeCell ref="M3:O3"/>
    <mergeCell ref="A33:Q33"/>
    <mergeCell ref="A34:A35"/>
    <mergeCell ref="G34:I34"/>
    <mergeCell ref="A15:H15"/>
    <mergeCell ref="K17:R17"/>
    <mergeCell ref="A25:I25"/>
    <mergeCell ref="K25:L25"/>
    <mergeCell ref="F26:I26"/>
  </mergeCells>
  <conditionalFormatting sqref="A37:Q50">
    <cfRule type="expression" dxfId="2" priority="22">
      <formula>$V37=1</formula>
    </cfRule>
  </conditionalFormatting>
  <dataValidations count="7">
    <dataValidation type="list" allowBlank="1" showInputMessage="1" showErrorMessage="1" sqref="B12">
      <formula1>"GCV, NCV"</formula1>
    </dataValidation>
    <dataValidation type="list" allowBlank="1" showInputMessage="1" showErrorMessage="1" sqref="B9:B11">
      <formula1>"fixed,variable"</formula1>
    </dataValidation>
    <dataValidation type="list" allowBlank="1" showInputMessage="1" showErrorMessage="1" sqref="B8">
      <formula1>"35°C,55°C"</formula1>
    </dataValidation>
    <dataValidation type="list" allowBlank="1" showInputMessage="1" showErrorMessage="1" sqref="B7">
      <formula1>"heating only,reversible"</formula1>
    </dataValidation>
    <dataValidation type="list" allowBlank="1" showInputMessage="1" showErrorMessage="1" sqref="B6">
      <formula1>"outdoor air-to-water, water-to-water,brine-to-water,ground water-to-water,ground/brine-to-water, packages including solar"</formula1>
    </dataValidation>
    <dataValidation type="whole" operator="lessThanOrEqual" showInputMessage="1" showErrorMessage="1" errorTitle="TOL too high" error="TOL higher than bivalent temperature" sqref="E8">
      <formula1>E7</formula1>
    </dataValidation>
    <dataValidation type="custom" allowBlank="1" showInputMessage="1" showErrorMessage="1" errorTitle="Bivalent temperature too high" error="Bivalent tempertaure higher than bivalent upper limit" sqref="E7">
      <formula1>E7&lt;=7</formula1>
    </dataValidation>
  </dataValidations>
  <pageMargins left="0.7" right="0.7" top="0.75" bottom="0.75" header="0.3" footer="0.3"/>
  <pageSetup paperSize="9" orientation="portrait" r:id="rId1"/>
  <ignoredErrors>
    <ignoredError sqref="E51:Q51 K26:R26 D29:D31 E10 K20:R23 E37 E38 E39 E40 E41 E42 E43 E44 E45 E46 E47 E48 E49 E50 B18:C18 B19:C19 B20:C20 N31:R31 L25:R25 N29:R30 N28:R28 N27 P27:R2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Z71"/>
  <sheetViews>
    <sheetView zoomScale="55" zoomScaleNormal="55" workbookViewId="0">
      <selection activeCell="O42" sqref="O42"/>
    </sheetView>
  </sheetViews>
  <sheetFormatPr baseColWidth="10" defaultColWidth="8.85546875" defaultRowHeight="18" x14ac:dyDescent="0.25"/>
  <cols>
    <col min="1" max="1" width="29.42578125" style="27" customWidth="1"/>
    <col min="2" max="2" width="25.42578125" style="27" customWidth="1"/>
    <col min="3" max="3" width="16.42578125" style="27" customWidth="1"/>
    <col min="4" max="4" width="19.7109375" style="27" customWidth="1"/>
    <col min="5" max="5" width="17.42578125" style="27" customWidth="1"/>
    <col min="6" max="6" width="19.85546875" style="27" customWidth="1"/>
    <col min="7" max="7" width="12.7109375" style="27" customWidth="1"/>
    <col min="8" max="8" width="14" style="27" customWidth="1"/>
    <col min="9" max="9" width="17.42578125" style="27" customWidth="1"/>
    <col min="10" max="10" width="23.7109375" style="27" bestFit="1" customWidth="1"/>
    <col min="11" max="11" width="15.42578125" style="27" customWidth="1"/>
    <col min="12" max="12" width="17" style="27" customWidth="1"/>
    <col min="13" max="13" width="17.5703125" style="27" customWidth="1"/>
    <col min="14" max="15" width="20.140625" style="27" customWidth="1"/>
    <col min="16" max="16" width="21.85546875" style="27" bestFit="1" customWidth="1"/>
    <col min="17" max="17" width="21.85546875" style="25" bestFit="1" customWidth="1"/>
    <col min="18" max="19" width="11" style="25" bestFit="1" customWidth="1"/>
    <col min="20" max="22" width="8.85546875" style="25"/>
    <col min="23" max="23" width="11.42578125" style="25" customWidth="1"/>
    <col min="24" max="24" width="11.140625" style="25" customWidth="1"/>
    <col min="25" max="25" width="8.85546875" style="25"/>
    <col min="26" max="32" width="8.85546875" style="144"/>
    <col min="33" max="52" width="8.85546875" style="138"/>
    <col min="53" max="16384" width="8.85546875" style="24"/>
  </cols>
  <sheetData>
    <row r="1" spans="1:39" ht="18.75" x14ac:dyDescent="0.25">
      <c r="A1" s="20" t="s">
        <v>133</v>
      </c>
      <c r="B1" s="21"/>
      <c r="C1" s="21"/>
      <c r="D1" s="21"/>
      <c r="E1" s="21"/>
      <c r="F1" s="21"/>
      <c r="G1" s="22"/>
      <c r="H1" s="21"/>
      <c r="I1" s="21"/>
      <c r="J1" s="21"/>
      <c r="K1" s="21"/>
      <c r="L1" s="21"/>
      <c r="M1" s="22"/>
      <c r="N1" s="22"/>
      <c r="O1" s="22"/>
      <c r="P1" s="22"/>
    </row>
    <row r="2" spans="1:39" x14ac:dyDescent="0.25">
      <c r="A2" s="26"/>
      <c r="B2" s="21"/>
      <c r="C2" s="21"/>
      <c r="D2" s="21"/>
      <c r="E2" s="21"/>
      <c r="F2" s="21"/>
      <c r="G2" s="22"/>
      <c r="H2" s="22"/>
      <c r="I2" s="203"/>
      <c r="J2" s="203"/>
      <c r="K2" s="203"/>
      <c r="L2" s="203"/>
      <c r="M2" s="22"/>
      <c r="N2" s="22"/>
      <c r="O2" s="22"/>
      <c r="P2" s="22"/>
    </row>
    <row r="3" spans="1:39" ht="18" customHeight="1" x14ac:dyDescent="0.25">
      <c r="A3" s="204" t="s">
        <v>14</v>
      </c>
      <c r="B3" s="205"/>
      <c r="C3" s="21"/>
      <c r="D3" s="204" t="s">
        <v>15</v>
      </c>
      <c r="E3" s="206"/>
      <c r="F3" s="205"/>
      <c r="H3" s="22"/>
      <c r="I3" s="203"/>
      <c r="J3" s="203"/>
      <c r="K3" s="203"/>
      <c r="L3" s="203"/>
      <c r="M3" s="21"/>
      <c r="N3" s="21"/>
      <c r="O3" s="21"/>
      <c r="P3" s="22"/>
    </row>
    <row r="4" spans="1:39" x14ac:dyDescent="0.25">
      <c r="A4" s="29" t="s">
        <v>16</v>
      </c>
      <c r="B4" s="164"/>
      <c r="C4" s="21"/>
      <c r="D4" s="30" t="s">
        <v>17</v>
      </c>
      <c r="E4" s="118" t="s">
        <v>18</v>
      </c>
      <c r="F4" s="32"/>
      <c r="G4" s="22"/>
      <c r="H4" s="22"/>
      <c r="I4" s="203"/>
      <c r="J4" s="203"/>
      <c r="K4" s="203"/>
      <c r="L4" s="203"/>
      <c r="M4" s="21"/>
      <c r="N4" s="21"/>
      <c r="O4" s="21"/>
      <c r="P4" s="22"/>
    </row>
    <row r="5" spans="1:39" x14ac:dyDescent="0.25">
      <c r="A5" s="29" t="s">
        <v>14</v>
      </c>
      <c r="B5" s="164"/>
      <c r="C5" s="21"/>
      <c r="D5" s="30" t="s">
        <v>19</v>
      </c>
      <c r="E5" s="119">
        <v>35</v>
      </c>
      <c r="F5" s="32" t="s">
        <v>20</v>
      </c>
      <c r="G5" s="22"/>
      <c r="H5" s="22"/>
      <c r="I5" s="203"/>
      <c r="J5" s="203"/>
      <c r="K5" s="203"/>
      <c r="L5" s="203"/>
      <c r="M5" s="21"/>
      <c r="N5" s="21"/>
      <c r="O5" s="21"/>
      <c r="P5" s="22"/>
    </row>
    <row r="6" spans="1:39" x14ac:dyDescent="0.25">
      <c r="A6" s="29" t="s">
        <v>21</v>
      </c>
      <c r="B6" s="10" t="s">
        <v>9</v>
      </c>
      <c r="C6" s="21"/>
      <c r="D6" s="32" t="s">
        <v>22</v>
      </c>
      <c r="E6" s="19"/>
      <c r="F6" s="32" t="s">
        <v>23</v>
      </c>
      <c r="G6" s="22"/>
      <c r="H6" s="22"/>
      <c r="I6" s="203"/>
      <c r="J6" s="203"/>
      <c r="K6" s="203"/>
      <c r="L6" s="203"/>
      <c r="M6" s="21"/>
      <c r="N6" s="21"/>
      <c r="O6" s="21"/>
      <c r="P6" s="22"/>
      <c r="R6" s="25" t="s">
        <v>136</v>
      </c>
      <c r="S6" s="25">
        <f>IF(OR(E6&lt;0,E6="",NOT(ISNUMBER(E6))),1,"")</f>
        <v>1</v>
      </c>
      <c r="W6" s="25" t="str">
        <f>IF(E6="","Pdesignc Missing","")</f>
        <v>Pdesignc Missing</v>
      </c>
      <c r="X6" s="25" t="str">
        <f>IF(E6&lt;0,"Pdesign Negative","")</f>
        <v/>
      </c>
      <c r="Y6" s="25" t="str">
        <f>IF(NOT(ISNUMBER(E6)),"Pdesignc is not a number","")</f>
        <v>Pdesignc is not a number</v>
      </c>
    </row>
    <row r="7" spans="1:39" x14ac:dyDescent="0.25">
      <c r="A7" s="29" t="s">
        <v>24</v>
      </c>
      <c r="B7" s="10" t="s">
        <v>165</v>
      </c>
      <c r="C7" s="21"/>
      <c r="D7" s="30" t="s">
        <v>120</v>
      </c>
      <c r="E7" s="120">
        <v>350</v>
      </c>
      <c r="F7" s="30" t="s">
        <v>30</v>
      </c>
      <c r="G7" s="22"/>
      <c r="H7" s="22"/>
      <c r="I7" s="203"/>
      <c r="J7" s="203"/>
      <c r="K7" s="203"/>
      <c r="L7" s="203"/>
      <c r="M7" s="21"/>
      <c r="N7" s="21"/>
      <c r="O7" s="21"/>
      <c r="P7" s="22"/>
    </row>
    <row r="8" spans="1:39" x14ac:dyDescent="0.25">
      <c r="A8" s="29" t="s">
        <v>26</v>
      </c>
      <c r="B8" s="162" t="s">
        <v>10</v>
      </c>
      <c r="C8" s="21"/>
      <c r="D8" s="32" t="s">
        <v>104</v>
      </c>
      <c r="E8" s="43" t="str">
        <f>IF($S$33&gt;0,"",$E$7*$E$6)</f>
        <v/>
      </c>
      <c r="F8" s="32" t="s">
        <v>32</v>
      </c>
      <c r="G8" s="22"/>
      <c r="H8" s="22"/>
      <c r="I8" s="203"/>
      <c r="J8" s="203"/>
      <c r="K8" s="203"/>
      <c r="L8" s="203"/>
      <c r="M8" s="21"/>
      <c r="N8" s="21"/>
      <c r="O8" s="21"/>
      <c r="P8" s="22"/>
    </row>
    <row r="9" spans="1:39" x14ac:dyDescent="0.25">
      <c r="A9" s="29" t="s">
        <v>31</v>
      </c>
      <c r="B9" s="162" t="s">
        <v>8</v>
      </c>
      <c r="C9" s="21"/>
      <c r="D9" s="21"/>
      <c r="E9" s="21"/>
      <c r="F9" s="21"/>
      <c r="G9" s="22"/>
      <c r="H9" s="22"/>
      <c r="I9" s="203"/>
      <c r="J9" s="203"/>
      <c r="K9" s="203"/>
      <c r="L9" s="203"/>
      <c r="M9" s="21"/>
      <c r="N9" s="21"/>
      <c r="O9" s="21"/>
      <c r="P9" s="21"/>
    </row>
    <row r="10" spans="1:39" ht="18.75" x14ac:dyDescent="0.3">
      <c r="A10" s="29" t="s">
        <v>33</v>
      </c>
      <c r="B10" s="162" t="s">
        <v>8</v>
      </c>
      <c r="C10" s="21"/>
      <c r="D10" s="21"/>
      <c r="E10" s="21"/>
      <c r="F10" s="21"/>
      <c r="G10" s="22"/>
      <c r="H10" s="22"/>
      <c r="I10" s="22"/>
      <c r="J10" s="22"/>
      <c r="K10" s="39" t="s">
        <v>141</v>
      </c>
      <c r="L10" s="22"/>
      <c r="M10" s="22"/>
      <c r="N10" s="21"/>
      <c r="O10" s="21"/>
      <c r="P10" s="21"/>
    </row>
    <row r="11" spans="1:39" x14ac:dyDescent="0.25">
      <c r="A11" s="29" t="s">
        <v>66</v>
      </c>
      <c r="B11" s="162" t="s">
        <v>67</v>
      </c>
      <c r="C11" s="21"/>
      <c r="D11" s="21"/>
      <c r="E11" s="21"/>
      <c r="F11" s="21"/>
      <c r="G11" s="21"/>
      <c r="H11" s="21"/>
      <c r="I11" s="22"/>
      <c r="J11" s="22"/>
      <c r="K11" s="207" t="str">
        <f>W6&amp;X6&amp;"   "&amp;Y6</f>
        <v>Pdesignc Missing   Pdesignc is not a number</v>
      </c>
      <c r="L11" s="207"/>
      <c r="M11" s="207"/>
      <c r="N11" s="21"/>
      <c r="O11" s="21"/>
      <c r="P11" s="21"/>
      <c r="Z11" s="25"/>
      <c r="AA11" s="25"/>
      <c r="AB11" s="25"/>
      <c r="AC11" s="25"/>
      <c r="AD11" s="25"/>
      <c r="AE11" s="25"/>
      <c r="AF11" s="25"/>
      <c r="AG11" s="137"/>
      <c r="AH11" s="137"/>
      <c r="AI11" s="137"/>
      <c r="AJ11" s="137"/>
      <c r="AK11" s="137"/>
      <c r="AL11" s="137"/>
      <c r="AM11" s="137"/>
    </row>
    <row r="12" spans="1:39" x14ac:dyDescent="0.25">
      <c r="A12" s="21"/>
      <c r="B12" s="21"/>
      <c r="C12" s="21"/>
      <c r="D12" s="21"/>
      <c r="E12" s="21"/>
      <c r="F12" s="21"/>
      <c r="G12" s="21"/>
      <c r="H12" s="22"/>
      <c r="I12" s="22"/>
      <c r="J12" s="22"/>
      <c r="K12" s="207" t="str">
        <f>W17</f>
        <v>Complete performance data with correct value</v>
      </c>
      <c r="L12" s="207"/>
      <c r="M12" s="207"/>
      <c r="N12" s="21"/>
      <c r="O12" s="21"/>
      <c r="P12" s="21"/>
      <c r="Z12" s="25"/>
      <c r="AA12" s="25"/>
      <c r="AB12" s="25"/>
      <c r="AC12" s="25"/>
      <c r="AD12" s="25"/>
      <c r="AE12" s="25"/>
      <c r="AF12" s="25"/>
      <c r="AG12" s="137"/>
      <c r="AH12" s="137"/>
      <c r="AI12" s="137"/>
      <c r="AJ12" s="137"/>
      <c r="AK12" s="137"/>
      <c r="AL12" s="137"/>
      <c r="AM12" s="137"/>
    </row>
    <row r="13" spans="1:39" x14ac:dyDescent="0.25">
      <c r="A13" s="21"/>
      <c r="B13" s="21"/>
      <c r="C13" s="21"/>
      <c r="D13" s="21"/>
      <c r="E13" s="21"/>
      <c r="F13" s="21"/>
      <c r="G13" s="21"/>
      <c r="H13" s="22"/>
      <c r="I13" s="22"/>
      <c r="J13" s="22"/>
      <c r="K13" s="207" t="str">
        <f>W29&amp;X29</f>
        <v>Complete Auxiliary data for cooling only</v>
      </c>
      <c r="L13" s="207"/>
      <c r="M13" s="207"/>
      <c r="N13" s="21"/>
      <c r="O13" s="21"/>
      <c r="P13" s="21"/>
    </row>
    <row r="14" spans="1:39" x14ac:dyDescent="0.25">
      <c r="A14" s="21"/>
      <c r="B14" s="21"/>
      <c r="C14" s="21"/>
      <c r="D14" s="21"/>
      <c r="E14" s="21"/>
      <c r="F14" s="21"/>
      <c r="G14" s="21"/>
      <c r="H14" s="21"/>
      <c r="I14" s="22"/>
      <c r="J14" s="22"/>
      <c r="K14" s="207"/>
      <c r="L14" s="207"/>
      <c r="M14" s="207"/>
      <c r="N14" s="21"/>
      <c r="O14" s="21"/>
      <c r="P14" s="21"/>
    </row>
    <row r="15" spans="1:39" x14ac:dyDescent="0.25">
      <c r="A15" s="204" t="s">
        <v>35</v>
      </c>
      <c r="B15" s="206"/>
      <c r="C15" s="206"/>
      <c r="D15" s="206"/>
      <c r="E15" s="206"/>
      <c r="F15" s="206"/>
      <c r="G15" s="206"/>
      <c r="H15" s="205"/>
      <c r="I15" s="22"/>
      <c r="J15" s="22"/>
      <c r="K15" s="207"/>
      <c r="L15" s="207"/>
      <c r="M15" s="207"/>
      <c r="N15" s="21"/>
      <c r="O15" s="21"/>
      <c r="P15" s="21"/>
    </row>
    <row r="16" spans="1:39" ht="72" x14ac:dyDescent="0.25">
      <c r="A16" s="32" t="s">
        <v>36</v>
      </c>
      <c r="B16" s="32" t="s">
        <v>37</v>
      </c>
      <c r="C16" s="32" t="s">
        <v>38</v>
      </c>
      <c r="D16" s="32" t="s">
        <v>39</v>
      </c>
      <c r="E16" s="157" t="s">
        <v>40</v>
      </c>
      <c r="F16" s="157" t="s">
        <v>41</v>
      </c>
      <c r="G16" s="157" t="s">
        <v>68</v>
      </c>
      <c r="H16" s="157" t="s">
        <v>69</v>
      </c>
      <c r="I16" s="22"/>
      <c r="J16" s="22"/>
      <c r="K16" s="21"/>
      <c r="L16" s="21"/>
      <c r="M16" s="21"/>
      <c r="N16" s="21"/>
      <c r="O16" s="21"/>
      <c r="P16" s="21"/>
      <c r="Q16" s="94"/>
    </row>
    <row r="17" spans="1:24" x14ac:dyDescent="0.25">
      <c r="A17" s="47" t="s">
        <v>42</v>
      </c>
      <c r="B17" s="47">
        <v>35</v>
      </c>
      <c r="C17" s="48">
        <f>(B17-16)/($E$5-16)</f>
        <v>1</v>
      </c>
      <c r="D17" s="49" t="str">
        <f>IF(S33&gt;0,"",$E$6*C17)</f>
        <v/>
      </c>
      <c r="E17" s="162"/>
      <c r="F17" s="11"/>
      <c r="G17" s="11"/>
      <c r="H17" s="11"/>
      <c r="I17" s="22"/>
      <c r="J17" s="22"/>
      <c r="K17" s="210" t="s">
        <v>28</v>
      </c>
      <c r="L17" s="210"/>
      <c r="M17" s="210"/>
      <c r="N17" s="21"/>
      <c r="O17" s="21"/>
      <c r="P17" s="21"/>
      <c r="Q17" s="94"/>
      <c r="R17" s="25" t="s">
        <v>139</v>
      </c>
      <c r="S17" s="25">
        <f t="shared" ref="S17:U20" si="0">IF(AND(F17&gt;0,ISNUMBER(F17)),"",1)</f>
        <v>1</v>
      </c>
      <c r="T17" s="25">
        <f t="shared" si="0"/>
        <v>1</v>
      </c>
      <c r="U17" s="25">
        <f t="shared" si="0"/>
        <v>1</v>
      </c>
      <c r="W17" s="25" t="str">
        <f>IF(SUM(S17:U20)&gt;0,"Complete performance data with correct value","")</f>
        <v>Complete performance data with correct value</v>
      </c>
    </row>
    <row r="18" spans="1:24" ht="19.5" x14ac:dyDescent="0.25">
      <c r="A18" s="47" t="s">
        <v>43</v>
      </c>
      <c r="B18" s="47">
        <v>30</v>
      </c>
      <c r="C18" s="48">
        <f>(B18-16)/($E$5-16)</f>
        <v>0.73684210526315785</v>
      </c>
      <c r="D18" s="49" t="str">
        <f>IF(S33&gt;0,"",$E$6*C18)</f>
        <v/>
      </c>
      <c r="E18" s="162"/>
      <c r="F18" s="11"/>
      <c r="G18" s="11"/>
      <c r="H18" s="11"/>
      <c r="I18" s="22"/>
      <c r="J18" s="22"/>
      <c r="K18" s="120" t="s">
        <v>147</v>
      </c>
      <c r="L18" s="120" t="s">
        <v>132</v>
      </c>
      <c r="M18" s="120" t="s">
        <v>131</v>
      </c>
      <c r="N18" s="21"/>
      <c r="O18" s="21"/>
      <c r="P18" s="21"/>
      <c r="Q18" s="94"/>
      <c r="S18" s="25">
        <f t="shared" si="0"/>
        <v>1</v>
      </c>
      <c r="T18" s="25">
        <f t="shared" si="0"/>
        <v>1</v>
      </c>
      <c r="U18" s="25">
        <f t="shared" si="0"/>
        <v>1</v>
      </c>
    </row>
    <row r="19" spans="1:24" x14ac:dyDescent="0.25">
      <c r="A19" s="47" t="s">
        <v>44</v>
      </c>
      <c r="B19" s="47">
        <v>25</v>
      </c>
      <c r="C19" s="48">
        <f>(B19-16)/($E$5-16)</f>
        <v>0.47368421052631576</v>
      </c>
      <c r="D19" s="49" t="str">
        <f>IF(S33&gt;0,"",$E$6*C19)</f>
        <v/>
      </c>
      <c r="E19" s="162"/>
      <c r="F19" s="11"/>
      <c r="G19" s="11"/>
      <c r="H19" s="11"/>
      <c r="I19" s="22"/>
      <c r="J19" s="22"/>
      <c r="K19" s="51" t="str">
        <f>IF(S33&gt;0,"",J61/K61)</f>
        <v/>
      </c>
      <c r="L19" s="51" t="str">
        <f>IF(S33&gt;0,"",J61/L61)</f>
        <v/>
      </c>
      <c r="M19" s="161" t="str">
        <f>IF(S33&gt;0,"",IF($B$7="cooling only",E8/(E8/L19+D29+D30+D31),E8/(E8/L19+I29+I30+I31)))</f>
        <v/>
      </c>
      <c r="N19" s="21"/>
      <c r="O19" s="21"/>
      <c r="P19" s="21"/>
      <c r="Q19" s="94"/>
      <c r="S19" s="25">
        <f t="shared" si="0"/>
        <v>1</v>
      </c>
      <c r="T19" s="25">
        <f t="shared" si="0"/>
        <v>1</v>
      </c>
      <c r="U19" s="25">
        <f t="shared" si="0"/>
        <v>1</v>
      </c>
    </row>
    <row r="20" spans="1:24" x14ac:dyDescent="0.25">
      <c r="A20" s="47" t="s">
        <v>45</v>
      </c>
      <c r="B20" s="47">
        <v>20</v>
      </c>
      <c r="C20" s="48">
        <f>(B20-16)/($E$5-16)</f>
        <v>0.21052631578947367</v>
      </c>
      <c r="D20" s="49" t="str">
        <f>IF(S33&gt;0,"",$E$6*C20)</f>
        <v/>
      </c>
      <c r="E20" s="162"/>
      <c r="F20" s="11"/>
      <c r="G20" s="11"/>
      <c r="H20" s="11"/>
      <c r="I20" s="22"/>
      <c r="J20" s="22"/>
      <c r="K20" s="22"/>
      <c r="L20" s="22"/>
      <c r="M20" s="21"/>
      <c r="N20" s="21"/>
      <c r="O20" s="21"/>
      <c r="P20" s="21"/>
      <c r="Q20" s="94"/>
      <c r="S20" s="25">
        <f t="shared" si="0"/>
        <v>1</v>
      </c>
      <c r="T20" s="25">
        <f t="shared" si="0"/>
        <v>1</v>
      </c>
      <c r="U20" s="25">
        <f t="shared" si="0"/>
        <v>1</v>
      </c>
    </row>
    <row r="21" spans="1:24" x14ac:dyDescent="0.25">
      <c r="A21" s="21"/>
      <c r="B21" s="21"/>
      <c r="C21" s="21"/>
      <c r="D21" s="21"/>
      <c r="E21" s="21"/>
      <c r="F21" s="21"/>
      <c r="G21" s="21"/>
      <c r="H21" s="21"/>
      <c r="I21" s="21"/>
      <c r="J21" s="53"/>
      <c r="K21" s="53"/>
      <c r="L21" s="53"/>
      <c r="M21" s="21"/>
      <c r="N21" s="21"/>
      <c r="O21" s="21"/>
      <c r="P21" s="21"/>
      <c r="Q21" s="94"/>
    </row>
    <row r="22" spans="1:24" x14ac:dyDescent="0.25">
      <c r="A22" s="21"/>
      <c r="B22" s="21"/>
      <c r="C22" s="21"/>
      <c r="D22" s="21"/>
      <c r="E22" s="21"/>
      <c r="F22" s="21"/>
      <c r="G22" s="21"/>
      <c r="H22" s="21"/>
      <c r="I22" s="21"/>
      <c r="J22" s="53"/>
      <c r="K22" s="53"/>
      <c r="L22" s="53"/>
      <c r="M22" s="21"/>
      <c r="N22" s="22"/>
      <c r="O22" s="22"/>
      <c r="P22" s="21"/>
      <c r="Q22" s="94"/>
    </row>
    <row r="23" spans="1:24" x14ac:dyDescent="0.25">
      <c r="A23" s="21"/>
      <c r="B23" s="21"/>
      <c r="C23" s="21"/>
      <c r="D23" s="21"/>
      <c r="E23" s="21"/>
      <c r="F23" s="21"/>
      <c r="G23" s="21"/>
      <c r="H23" s="21"/>
      <c r="I23" s="21"/>
      <c r="J23" s="53"/>
      <c r="K23" s="53"/>
      <c r="L23" s="53"/>
      <c r="M23" s="21"/>
      <c r="N23" s="22"/>
      <c r="O23" s="22"/>
      <c r="P23" s="21"/>
      <c r="Q23" s="94"/>
    </row>
    <row r="24" spans="1:24" x14ac:dyDescent="0.25">
      <c r="A24" s="21"/>
      <c r="B24" s="21"/>
      <c r="C24" s="21"/>
      <c r="D24" s="21"/>
      <c r="E24" s="21"/>
      <c r="F24" s="21"/>
      <c r="G24" s="21"/>
      <c r="H24" s="21"/>
      <c r="I24" s="21"/>
      <c r="J24" s="53"/>
      <c r="K24" s="53"/>
      <c r="L24" s="53"/>
      <c r="M24" s="21"/>
      <c r="N24" s="22"/>
      <c r="O24" s="22"/>
      <c r="P24" s="21"/>
      <c r="Q24" s="94"/>
    </row>
    <row r="25" spans="1:24" ht="18" customHeight="1" x14ac:dyDescent="0.25">
      <c r="A25" s="204" t="s">
        <v>48</v>
      </c>
      <c r="B25" s="206"/>
      <c r="C25" s="206"/>
      <c r="D25" s="206"/>
      <c r="E25" s="206"/>
      <c r="F25" s="206"/>
      <c r="G25" s="206"/>
      <c r="H25" s="206"/>
      <c r="I25" s="205"/>
      <c r="J25" s="53"/>
      <c r="K25" s="53"/>
      <c r="L25" s="53"/>
      <c r="M25" s="21"/>
      <c r="N25" s="22"/>
      <c r="O25" s="22"/>
      <c r="P25" s="21"/>
      <c r="Q25" s="94"/>
    </row>
    <row r="26" spans="1:24" x14ac:dyDescent="0.25">
      <c r="A26" s="121" t="s">
        <v>123</v>
      </c>
      <c r="B26" s="21"/>
      <c r="C26" s="21"/>
      <c r="D26" s="21"/>
      <c r="E26" s="21"/>
      <c r="F26" s="183" t="s">
        <v>50</v>
      </c>
      <c r="G26" s="183"/>
      <c r="H26" s="183"/>
      <c r="I26" s="183"/>
      <c r="J26" s="53"/>
      <c r="K26" s="53"/>
      <c r="L26" s="53"/>
      <c r="M26" s="21"/>
      <c r="N26" s="22"/>
      <c r="O26" s="22"/>
      <c r="P26" s="21"/>
      <c r="Q26" s="94"/>
    </row>
    <row r="27" spans="1:24" x14ac:dyDescent="0.25">
      <c r="A27" s="122"/>
      <c r="B27" s="56" t="s">
        <v>51</v>
      </c>
      <c r="C27" s="56" t="s">
        <v>110</v>
      </c>
      <c r="D27" s="56" t="s">
        <v>111</v>
      </c>
      <c r="E27" s="21"/>
      <c r="F27" s="122"/>
      <c r="G27" s="56" t="s">
        <v>51</v>
      </c>
      <c r="H27" s="56" t="s">
        <v>112</v>
      </c>
      <c r="I27" s="56" t="s">
        <v>111</v>
      </c>
      <c r="J27" s="53"/>
      <c r="K27" s="53"/>
      <c r="L27" s="53"/>
      <c r="M27" s="53"/>
      <c r="N27" s="53"/>
      <c r="O27" s="53"/>
      <c r="P27" s="21"/>
      <c r="Q27" s="94"/>
    </row>
    <row r="28" spans="1:24" x14ac:dyDescent="0.25">
      <c r="A28" s="122"/>
      <c r="B28" s="57"/>
      <c r="C28" s="57" t="s">
        <v>161</v>
      </c>
      <c r="D28" s="57" t="s">
        <v>109</v>
      </c>
      <c r="E28" s="21"/>
      <c r="F28" s="122"/>
      <c r="G28" s="57"/>
      <c r="H28" s="57" t="s">
        <v>161</v>
      </c>
      <c r="I28" s="57" t="s">
        <v>109</v>
      </c>
      <c r="J28" s="53"/>
      <c r="K28" s="53"/>
      <c r="L28" s="53"/>
      <c r="M28" s="53"/>
      <c r="N28" s="53"/>
      <c r="O28" s="53"/>
      <c r="P28" s="21"/>
      <c r="Q28" s="94"/>
    </row>
    <row r="29" spans="1:24" x14ac:dyDescent="0.25">
      <c r="A29" s="30" t="s">
        <v>52</v>
      </c>
      <c r="B29" s="47">
        <v>221</v>
      </c>
      <c r="C29" s="10"/>
      <c r="D29" s="123">
        <f>C29*B29</f>
        <v>0</v>
      </c>
      <c r="E29" s="21"/>
      <c r="F29" s="29" t="s">
        <v>52</v>
      </c>
      <c r="G29" s="120">
        <v>221</v>
      </c>
      <c r="H29" s="10"/>
      <c r="I29" s="123">
        <f>H29*G29</f>
        <v>0</v>
      </c>
      <c r="J29" s="53"/>
      <c r="K29" s="53"/>
      <c r="L29" s="53"/>
      <c r="M29" s="53"/>
      <c r="N29" s="53"/>
      <c r="O29" s="53"/>
      <c r="P29" s="21"/>
      <c r="Q29" s="94"/>
      <c r="R29" s="25" t="s">
        <v>140</v>
      </c>
      <c r="S29" s="25">
        <f>IF($B$7="cooling only",IF(AND(C29&gt;=0,ISNUMBER(C29)),"",1),"")</f>
        <v>1</v>
      </c>
      <c r="T29" s="25" t="str">
        <f>IF($B$7="reversible",IF(AND(H29&gt;=0,ISNUMBER(H29)),"",1),"")</f>
        <v/>
      </c>
      <c r="W29" s="25" t="str">
        <f>IF(SUM(S29:S31)&gt;0,"Complete Auxiliary data for cooling only","")</f>
        <v>Complete Auxiliary data for cooling only</v>
      </c>
      <c r="X29" s="25" t="str">
        <f>IF(SUM(T29:T31)&gt;0,"Complete Auxiliary data for reversible unit","")</f>
        <v/>
      </c>
    </row>
    <row r="30" spans="1:24" x14ac:dyDescent="0.25">
      <c r="A30" s="30" t="s">
        <v>53</v>
      </c>
      <c r="B30" s="47">
        <v>2142</v>
      </c>
      <c r="C30" s="10"/>
      <c r="D30" s="123">
        <f>C30*B30</f>
        <v>0</v>
      </c>
      <c r="E30" s="21"/>
      <c r="F30" s="29" t="s">
        <v>53</v>
      </c>
      <c r="G30" s="120">
        <v>2142</v>
      </c>
      <c r="H30" s="10"/>
      <c r="I30" s="123">
        <f>H30*G30</f>
        <v>0</v>
      </c>
      <c r="J30" s="21"/>
      <c r="K30" s="21"/>
      <c r="L30" s="21"/>
      <c r="M30" s="21"/>
      <c r="N30" s="53"/>
      <c r="O30" s="53"/>
      <c r="P30" s="21"/>
      <c r="Q30" s="94"/>
      <c r="S30" s="25">
        <f>IF($B$7="cooling only",IF(AND(C30&gt;=0,ISNUMBER(C30)),"",1),"")</f>
        <v>1</v>
      </c>
      <c r="T30" s="25" t="str">
        <f>IF($B$7="reversible",IF(AND(H30&gt;=0,ISNUMBER(H30)),"",1),"")</f>
        <v/>
      </c>
    </row>
    <row r="31" spans="1:24" x14ac:dyDescent="0.25">
      <c r="A31" s="30" t="s">
        <v>54</v>
      </c>
      <c r="B31" s="47">
        <v>5088</v>
      </c>
      <c r="C31" s="10"/>
      <c r="D31" s="123">
        <f>C31*B31</f>
        <v>0</v>
      </c>
      <c r="E31" s="21"/>
      <c r="F31" s="29" t="s">
        <v>54</v>
      </c>
      <c r="G31" s="120">
        <v>0</v>
      </c>
      <c r="H31" s="10"/>
      <c r="I31" s="123">
        <f>H31*G31</f>
        <v>0</v>
      </c>
      <c r="J31" s="53"/>
      <c r="K31" s="53"/>
      <c r="L31" s="53"/>
      <c r="M31" s="53"/>
      <c r="N31" s="53"/>
      <c r="O31" s="53"/>
      <c r="P31" s="21"/>
      <c r="Q31" s="94"/>
      <c r="S31" s="25">
        <f>IF($B$7="cooling only",IF(AND(C31&gt;=0,ISNUMBER(C31)),"",1),"")</f>
        <v>1</v>
      </c>
      <c r="T31" s="25" t="str">
        <f>IF($B$7="reversible",IF(AND(H31&gt;=0,ISNUMBER(H31)),"",1),"")</f>
        <v/>
      </c>
    </row>
    <row r="32" spans="1:24" x14ac:dyDescent="0.25">
      <c r="A32" s="26"/>
      <c r="B32" s="21"/>
      <c r="C32" s="21"/>
      <c r="D32" s="21"/>
      <c r="E32" s="21"/>
      <c r="F32" s="21"/>
      <c r="G32" s="21"/>
      <c r="H32" s="21"/>
      <c r="I32" s="21"/>
      <c r="J32" s="53"/>
      <c r="K32" s="53"/>
      <c r="L32" s="53"/>
      <c r="M32" s="53"/>
      <c r="N32" s="53"/>
      <c r="O32" s="53"/>
      <c r="P32" s="21"/>
      <c r="Q32" s="94"/>
    </row>
    <row r="33" spans="1:25" ht="18.75" thickBot="1" x14ac:dyDescent="0.3">
      <c r="A33" s="209" t="s">
        <v>4</v>
      </c>
      <c r="B33" s="209"/>
      <c r="C33" s="209"/>
      <c r="D33" s="209"/>
      <c r="E33" s="209"/>
      <c r="F33" s="209"/>
      <c r="G33" s="209"/>
      <c r="H33" s="209"/>
      <c r="I33" s="209"/>
      <c r="J33" s="209"/>
      <c r="K33" s="209"/>
      <c r="L33" s="209"/>
      <c r="M33" s="53"/>
      <c r="N33" s="53"/>
      <c r="O33" s="53"/>
      <c r="P33" s="21"/>
      <c r="Q33" s="94"/>
      <c r="S33" s="25">
        <f>SUM(S6:U31)</f>
        <v>16</v>
      </c>
    </row>
    <row r="34" spans="1:25" ht="54" x14ac:dyDescent="0.25">
      <c r="A34" s="177" t="s">
        <v>36</v>
      </c>
      <c r="B34" s="62" t="s">
        <v>55</v>
      </c>
      <c r="C34" s="62" t="s">
        <v>56</v>
      </c>
      <c r="D34" s="62" t="s">
        <v>57</v>
      </c>
      <c r="E34" s="63" t="s">
        <v>58</v>
      </c>
      <c r="F34" s="64" t="s">
        <v>122</v>
      </c>
      <c r="G34" s="179" t="s">
        <v>121</v>
      </c>
      <c r="H34" s="179"/>
      <c r="I34" s="208"/>
      <c r="J34" s="64" t="s">
        <v>124</v>
      </c>
      <c r="K34" s="156" t="s">
        <v>125</v>
      </c>
      <c r="L34" s="158" t="s">
        <v>126</v>
      </c>
      <c r="M34" s="53"/>
      <c r="N34" s="53"/>
      <c r="O34" s="21"/>
      <c r="P34" s="22"/>
      <c r="Q34" s="145"/>
      <c r="R34" s="145"/>
      <c r="S34" s="94"/>
    </row>
    <row r="35" spans="1:25" ht="42" customHeight="1" x14ac:dyDescent="0.25">
      <c r="A35" s="178"/>
      <c r="B35" s="157" t="s">
        <v>60</v>
      </c>
      <c r="C35" s="157" t="s">
        <v>61</v>
      </c>
      <c r="D35" s="157" t="s">
        <v>62</v>
      </c>
      <c r="E35" s="66"/>
      <c r="F35" s="67" t="s">
        <v>129</v>
      </c>
      <c r="G35" s="157"/>
      <c r="H35" s="157" t="s">
        <v>128</v>
      </c>
      <c r="I35" s="66" t="s">
        <v>127</v>
      </c>
      <c r="J35" s="67" t="s">
        <v>130</v>
      </c>
      <c r="K35" s="157"/>
      <c r="L35" s="66"/>
      <c r="M35" s="53"/>
      <c r="N35" s="53"/>
      <c r="O35" s="21"/>
      <c r="P35" s="22"/>
      <c r="T35" s="25" t="s">
        <v>117</v>
      </c>
      <c r="U35" s="25" t="s">
        <v>117</v>
      </c>
      <c r="V35" s="25" t="s">
        <v>118</v>
      </c>
      <c r="W35" s="25" t="s">
        <v>118</v>
      </c>
      <c r="X35" s="25" t="s">
        <v>119</v>
      </c>
      <c r="Y35" s="25" t="s">
        <v>119</v>
      </c>
    </row>
    <row r="36" spans="1:25" x14ac:dyDescent="0.25">
      <c r="A36" s="69"/>
      <c r="B36" s="157" t="s">
        <v>65</v>
      </c>
      <c r="C36" s="157" t="s">
        <v>20</v>
      </c>
      <c r="D36" s="57" t="s">
        <v>74</v>
      </c>
      <c r="E36" s="71" t="s">
        <v>34</v>
      </c>
      <c r="F36" s="72" t="s">
        <v>75</v>
      </c>
      <c r="G36" s="32" t="s">
        <v>75</v>
      </c>
      <c r="H36" s="32" t="s">
        <v>65</v>
      </c>
      <c r="I36" s="124" t="s">
        <v>65</v>
      </c>
      <c r="J36" s="125" t="s">
        <v>32</v>
      </c>
      <c r="K36" s="30" t="s">
        <v>32</v>
      </c>
      <c r="L36" s="124" t="s">
        <v>32</v>
      </c>
      <c r="M36" s="53"/>
      <c r="N36" s="53"/>
      <c r="O36" s="21"/>
      <c r="P36" s="22"/>
      <c r="Q36" s="25">
        <f t="shared" ref="Q36:Q60" si="1">IF(A36="",0,1)</f>
        <v>0</v>
      </c>
      <c r="R36" s="25">
        <v>0</v>
      </c>
    </row>
    <row r="37" spans="1:25" x14ac:dyDescent="0.25">
      <c r="A37" s="126"/>
      <c r="B37" s="127">
        <v>1</v>
      </c>
      <c r="C37" s="127">
        <v>17</v>
      </c>
      <c r="D37" s="127">
        <v>205</v>
      </c>
      <c r="E37" s="76">
        <f>(C37-16)/($E$5-16)</f>
        <v>5.2631578947368418E-2</v>
      </c>
      <c r="F37" s="128" t="str">
        <f t="shared" ref="F37:F60" si="2">IF($S$33&gt;0,"",$E$6*E37)</f>
        <v/>
      </c>
      <c r="G37" s="129" t="str">
        <f t="shared" ref="G37:I39" si="3">IF($S$33&gt;0,"",G$40)</f>
        <v/>
      </c>
      <c r="H37" s="129" t="str">
        <f t="shared" si="3"/>
        <v/>
      </c>
      <c r="I37" s="130" t="str">
        <f t="shared" si="3"/>
        <v/>
      </c>
      <c r="J37" s="140" t="str">
        <f>IF($S$33&gt;0,"",F37*D37*(350/954))</f>
        <v/>
      </c>
      <c r="K37" s="142" t="str">
        <f t="shared" ref="K37:K60" si="4">IF($S$33&gt;0,"",($J37/H37))</f>
        <v/>
      </c>
      <c r="L37" s="130" t="str">
        <f t="shared" ref="L37:L60" si="5">IF($S$33&gt;0,"",($J37/I37))</f>
        <v/>
      </c>
      <c r="M37" s="53"/>
      <c r="N37" s="53"/>
      <c r="O37" s="21"/>
      <c r="P37" s="22"/>
      <c r="Q37" s="25">
        <f t="shared" si="1"/>
        <v>0</v>
      </c>
      <c r="R37" s="25">
        <v>20</v>
      </c>
      <c r="S37" s="25">
        <f>IF(Q37=0,S38,C37)</f>
        <v>25</v>
      </c>
      <c r="T37" s="82">
        <f t="shared" ref="T37:U60" si="6">VLOOKUP(R37,$B$17:$H$20,5,FALSE)</f>
        <v>0</v>
      </c>
      <c r="U37" s="82">
        <f t="shared" si="6"/>
        <v>0</v>
      </c>
      <c r="V37" s="25">
        <f t="shared" ref="V37:W60" si="7">VLOOKUP(R37,$B$17:$H$20,6,FALSE)</f>
        <v>0</v>
      </c>
      <c r="W37" s="82">
        <f t="shared" si="7"/>
        <v>0</v>
      </c>
      <c r="X37" s="25">
        <f t="shared" ref="X37:Y60" si="8">VLOOKUP(R37,$B$17:$H$20,7,FALSE)</f>
        <v>0</v>
      </c>
      <c r="Y37" s="82">
        <f t="shared" si="8"/>
        <v>0</v>
      </c>
    </row>
    <row r="38" spans="1:25" x14ac:dyDescent="0.25">
      <c r="A38" s="126"/>
      <c r="B38" s="127">
        <f>B37+1</f>
        <v>2</v>
      </c>
      <c r="C38" s="127">
        <f>C37+1</f>
        <v>18</v>
      </c>
      <c r="D38" s="127">
        <v>227</v>
      </c>
      <c r="E38" s="76">
        <f t="shared" ref="E38:E55" si="9">(C38-16)/($E$5-16)</f>
        <v>0.10526315789473684</v>
      </c>
      <c r="F38" s="128" t="str">
        <f t="shared" si="2"/>
        <v/>
      </c>
      <c r="G38" s="129" t="str">
        <f t="shared" si="3"/>
        <v/>
      </c>
      <c r="H38" s="129" t="str">
        <f t="shared" si="3"/>
        <v/>
      </c>
      <c r="I38" s="130" t="str">
        <f t="shared" si="3"/>
        <v/>
      </c>
      <c r="J38" s="140" t="str">
        <f t="shared" ref="J38:J60" si="10">IF($S$33&gt;0,"",F38*D38*(350/954))</f>
        <v/>
      </c>
      <c r="K38" s="142" t="str">
        <f t="shared" si="4"/>
        <v/>
      </c>
      <c r="L38" s="130" t="str">
        <f t="shared" si="5"/>
        <v/>
      </c>
      <c r="M38" s="53"/>
      <c r="N38" s="53"/>
      <c r="O38" s="21"/>
      <c r="P38" s="22"/>
      <c r="Q38" s="25">
        <f t="shared" si="1"/>
        <v>0</v>
      </c>
      <c r="R38" s="25">
        <v>20</v>
      </c>
      <c r="S38" s="25">
        <f>IF(Q38=0,S39,C38)</f>
        <v>25</v>
      </c>
      <c r="T38" s="82">
        <f t="shared" si="6"/>
        <v>0</v>
      </c>
      <c r="U38" s="82">
        <f t="shared" si="6"/>
        <v>0</v>
      </c>
      <c r="V38" s="25">
        <f t="shared" si="7"/>
        <v>0</v>
      </c>
      <c r="W38" s="82">
        <f t="shared" si="7"/>
        <v>0</v>
      </c>
      <c r="X38" s="25">
        <f t="shared" si="8"/>
        <v>0</v>
      </c>
      <c r="Y38" s="82">
        <f t="shared" si="8"/>
        <v>0</v>
      </c>
    </row>
    <row r="39" spans="1:25" x14ac:dyDescent="0.25">
      <c r="A39" s="126"/>
      <c r="B39" s="127">
        <f t="shared" ref="B39:C54" si="11">B38+1</f>
        <v>3</v>
      </c>
      <c r="C39" s="127">
        <f t="shared" si="11"/>
        <v>19</v>
      </c>
      <c r="D39" s="127">
        <v>225</v>
      </c>
      <c r="E39" s="76">
        <f t="shared" si="9"/>
        <v>0.15789473684210525</v>
      </c>
      <c r="F39" s="128" t="str">
        <f t="shared" si="2"/>
        <v/>
      </c>
      <c r="G39" s="129" t="str">
        <f t="shared" si="3"/>
        <v/>
      </c>
      <c r="H39" s="129" t="str">
        <f t="shared" si="3"/>
        <v/>
      </c>
      <c r="I39" s="130" t="str">
        <f t="shared" si="3"/>
        <v/>
      </c>
      <c r="J39" s="140" t="str">
        <f t="shared" si="10"/>
        <v/>
      </c>
      <c r="K39" s="142" t="str">
        <f t="shared" si="4"/>
        <v/>
      </c>
      <c r="L39" s="130" t="str">
        <f t="shared" si="5"/>
        <v/>
      </c>
      <c r="M39" s="53"/>
      <c r="N39" s="53"/>
      <c r="O39" s="21"/>
      <c r="P39" s="22"/>
      <c r="Q39" s="25">
        <f t="shared" si="1"/>
        <v>0</v>
      </c>
      <c r="R39" s="25">
        <v>20</v>
      </c>
      <c r="S39" s="25">
        <f>IF(Q39=0,S40,C39)</f>
        <v>25</v>
      </c>
      <c r="T39" s="82">
        <f t="shared" si="6"/>
        <v>0</v>
      </c>
      <c r="U39" s="82">
        <f t="shared" si="6"/>
        <v>0</v>
      </c>
      <c r="V39" s="25">
        <f t="shared" si="7"/>
        <v>0</v>
      </c>
      <c r="W39" s="82">
        <f t="shared" si="7"/>
        <v>0</v>
      </c>
      <c r="X39" s="25">
        <f t="shared" si="8"/>
        <v>0</v>
      </c>
      <c r="Y39" s="82">
        <f t="shared" si="8"/>
        <v>0</v>
      </c>
    </row>
    <row r="40" spans="1:25" x14ac:dyDescent="0.25">
      <c r="A40" s="126" t="s">
        <v>45</v>
      </c>
      <c r="B40" s="127">
        <f t="shared" si="11"/>
        <v>4</v>
      </c>
      <c r="C40" s="127">
        <f t="shared" si="11"/>
        <v>20</v>
      </c>
      <c r="D40" s="127">
        <v>225</v>
      </c>
      <c r="E40" s="76">
        <f>(C40-16)/($E$5-16)</f>
        <v>0.21052631578947367</v>
      </c>
      <c r="F40" s="128" t="str">
        <f t="shared" si="2"/>
        <v/>
      </c>
      <c r="G40" s="129" t="str">
        <f t="shared" ref="G40:G55" si="12">IF($S$33&gt;0,"",IF($Q40=1,$T40,($C40-$R40)/($S40-$R40)*($U40-$T40)+$T40))</f>
        <v/>
      </c>
      <c r="H40" s="129" t="str">
        <f t="shared" ref="H40:H55" si="13">IF($S$33&gt;0,"",IF($Q40=1,$V40,($C40-$R40)/($S40-$R40)*($W40-$V40)+$V40))</f>
        <v/>
      </c>
      <c r="I40" s="130" t="str">
        <f t="shared" ref="I40:I55" si="14">IF($S$33&gt;0,"",IF($Q40=1,$X40,($C40-$R40)/($S40-$R40)*($Y40-$X40)+$X40))</f>
        <v/>
      </c>
      <c r="J40" s="140" t="str">
        <f t="shared" si="10"/>
        <v/>
      </c>
      <c r="K40" s="142" t="str">
        <f t="shared" si="4"/>
        <v/>
      </c>
      <c r="L40" s="130" t="str">
        <f t="shared" si="5"/>
        <v/>
      </c>
      <c r="M40" s="53"/>
      <c r="N40" s="53"/>
      <c r="O40" s="21"/>
      <c r="P40" s="22"/>
      <c r="Q40" s="25">
        <f t="shared" si="1"/>
        <v>1</v>
      </c>
      <c r="R40" s="25">
        <f t="shared" ref="R40:R56" si="15">IF(Q40=0,R39,C40)</f>
        <v>20</v>
      </c>
      <c r="S40" s="25">
        <v>25</v>
      </c>
      <c r="T40" s="82">
        <f t="shared" si="6"/>
        <v>0</v>
      </c>
      <c r="U40" s="82">
        <f t="shared" si="6"/>
        <v>0</v>
      </c>
      <c r="V40" s="25">
        <f t="shared" si="7"/>
        <v>0</v>
      </c>
      <c r="W40" s="82">
        <f t="shared" si="7"/>
        <v>0</v>
      </c>
      <c r="X40" s="25">
        <f t="shared" si="8"/>
        <v>0</v>
      </c>
      <c r="Y40" s="82">
        <f t="shared" si="8"/>
        <v>0</v>
      </c>
    </row>
    <row r="41" spans="1:25" x14ac:dyDescent="0.25">
      <c r="A41" s="126"/>
      <c r="B41" s="127">
        <f t="shared" si="11"/>
        <v>5</v>
      </c>
      <c r="C41" s="127">
        <f t="shared" si="11"/>
        <v>21</v>
      </c>
      <c r="D41" s="127">
        <v>216</v>
      </c>
      <c r="E41" s="76">
        <f t="shared" si="9"/>
        <v>0.26315789473684209</v>
      </c>
      <c r="F41" s="128" t="str">
        <f t="shared" si="2"/>
        <v/>
      </c>
      <c r="G41" s="129" t="str">
        <f t="shared" si="12"/>
        <v/>
      </c>
      <c r="H41" s="129" t="str">
        <f t="shared" si="13"/>
        <v/>
      </c>
      <c r="I41" s="130" t="str">
        <f t="shared" si="14"/>
        <v/>
      </c>
      <c r="J41" s="140" t="str">
        <f t="shared" si="10"/>
        <v/>
      </c>
      <c r="K41" s="142" t="str">
        <f>IF($S$33&gt;0,"",($J41/H41))</f>
        <v/>
      </c>
      <c r="L41" s="130" t="str">
        <f t="shared" si="5"/>
        <v/>
      </c>
      <c r="M41" s="53"/>
      <c r="N41" s="53"/>
      <c r="O41" s="21"/>
      <c r="P41" s="22"/>
      <c r="Q41" s="25">
        <f t="shared" si="1"/>
        <v>0</v>
      </c>
      <c r="R41" s="25">
        <f t="shared" si="15"/>
        <v>20</v>
      </c>
      <c r="S41" s="25">
        <f t="shared" ref="S41:S59" si="16">IF(Q41=0,S42,C41)</f>
        <v>25</v>
      </c>
      <c r="T41" s="82">
        <f t="shared" si="6"/>
        <v>0</v>
      </c>
      <c r="U41" s="82">
        <f t="shared" si="6"/>
        <v>0</v>
      </c>
      <c r="V41" s="25">
        <f t="shared" si="7"/>
        <v>0</v>
      </c>
      <c r="W41" s="82">
        <f t="shared" si="7"/>
        <v>0</v>
      </c>
      <c r="X41" s="25">
        <f t="shared" si="8"/>
        <v>0</v>
      </c>
      <c r="Y41" s="82">
        <f t="shared" si="8"/>
        <v>0</v>
      </c>
    </row>
    <row r="42" spans="1:25" x14ac:dyDescent="0.25">
      <c r="A42" s="126"/>
      <c r="B42" s="127">
        <f t="shared" si="11"/>
        <v>6</v>
      </c>
      <c r="C42" s="127">
        <f t="shared" si="11"/>
        <v>22</v>
      </c>
      <c r="D42" s="127">
        <v>215</v>
      </c>
      <c r="E42" s="76">
        <f t="shared" si="9"/>
        <v>0.31578947368421051</v>
      </c>
      <c r="F42" s="128" t="str">
        <f t="shared" si="2"/>
        <v/>
      </c>
      <c r="G42" s="129" t="str">
        <f t="shared" si="12"/>
        <v/>
      </c>
      <c r="H42" s="129" t="str">
        <f t="shared" si="13"/>
        <v/>
      </c>
      <c r="I42" s="130" t="str">
        <f t="shared" si="14"/>
        <v/>
      </c>
      <c r="J42" s="140" t="str">
        <f t="shared" si="10"/>
        <v/>
      </c>
      <c r="K42" s="142" t="str">
        <f t="shared" si="4"/>
        <v/>
      </c>
      <c r="L42" s="130" t="str">
        <f t="shared" si="5"/>
        <v/>
      </c>
      <c r="M42" s="53"/>
      <c r="N42" s="53"/>
      <c r="O42" s="21"/>
      <c r="P42" s="22"/>
      <c r="Q42" s="25">
        <f t="shared" si="1"/>
        <v>0</v>
      </c>
      <c r="R42" s="25">
        <f t="shared" si="15"/>
        <v>20</v>
      </c>
      <c r="S42" s="25">
        <f t="shared" si="16"/>
        <v>25</v>
      </c>
      <c r="T42" s="82">
        <f t="shared" si="6"/>
        <v>0</v>
      </c>
      <c r="U42" s="82">
        <f t="shared" si="6"/>
        <v>0</v>
      </c>
      <c r="V42" s="25">
        <f t="shared" si="7"/>
        <v>0</v>
      </c>
      <c r="W42" s="82">
        <f t="shared" si="7"/>
        <v>0</v>
      </c>
      <c r="X42" s="25">
        <f t="shared" si="8"/>
        <v>0</v>
      </c>
      <c r="Y42" s="82">
        <f t="shared" si="8"/>
        <v>0</v>
      </c>
    </row>
    <row r="43" spans="1:25" x14ac:dyDescent="0.25">
      <c r="A43" s="126"/>
      <c r="B43" s="127">
        <f t="shared" si="11"/>
        <v>7</v>
      </c>
      <c r="C43" s="127">
        <f t="shared" si="11"/>
        <v>23</v>
      </c>
      <c r="D43" s="127">
        <v>218</v>
      </c>
      <c r="E43" s="76">
        <f t="shared" si="9"/>
        <v>0.36842105263157893</v>
      </c>
      <c r="F43" s="128" t="str">
        <f t="shared" si="2"/>
        <v/>
      </c>
      <c r="G43" s="129" t="str">
        <f t="shared" si="12"/>
        <v/>
      </c>
      <c r="H43" s="129" t="str">
        <f t="shared" si="13"/>
        <v/>
      </c>
      <c r="I43" s="130" t="str">
        <f t="shared" si="14"/>
        <v/>
      </c>
      <c r="J43" s="140" t="str">
        <f t="shared" si="10"/>
        <v/>
      </c>
      <c r="K43" s="142" t="str">
        <f t="shared" si="4"/>
        <v/>
      </c>
      <c r="L43" s="130" t="str">
        <f t="shared" si="5"/>
        <v/>
      </c>
      <c r="M43" s="53"/>
      <c r="N43" s="53"/>
      <c r="O43" s="21"/>
      <c r="P43" s="22"/>
      <c r="Q43" s="25">
        <f t="shared" si="1"/>
        <v>0</v>
      </c>
      <c r="R43" s="25">
        <f t="shared" si="15"/>
        <v>20</v>
      </c>
      <c r="S43" s="25">
        <f t="shared" si="16"/>
        <v>25</v>
      </c>
      <c r="T43" s="82">
        <f t="shared" si="6"/>
        <v>0</v>
      </c>
      <c r="U43" s="82">
        <f t="shared" si="6"/>
        <v>0</v>
      </c>
      <c r="V43" s="25">
        <f t="shared" si="7"/>
        <v>0</v>
      </c>
      <c r="W43" s="82">
        <f t="shared" si="7"/>
        <v>0</v>
      </c>
      <c r="X43" s="25">
        <f t="shared" si="8"/>
        <v>0</v>
      </c>
      <c r="Y43" s="82">
        <f t="shared" si="8"/>
        <v>0</v>
      </c>
    </row>
    <row r="44" spans="1:25" x14ac:dyDescent="0.25">
      <c r="A44" s="126"/>
      <c r="B44" s="127">
        <f t="shared" si="11"/>
        <v>8</v>
      </c>
      <c r="C44" s="127">
        <f t="shared" si="11"/>
        <v>24</v>
      </c>
      <c r="D44" s="127">
        <v>197</v>
      </c>
      <c r="E44" s="76">
        <f t="shared" si="9"/>
        <v>0.42105263157894735</v>
      </c>
      <c r="F44" s="128" t="str">
        <f t="shared" si="2"/>
        <v/>
      </c>
      <c r="G44" s="129" t="str">
        <f t="shared" si="12"/>
        <v/>
      </c>
      <c r="H44" s="129" t="str">
        <f t="shared" si="13"/>
        <v/>
      </c>
      <c r="I44" s="130" t="str">
        <f t="shared" si="14"/>
        <v/>
      </c>
      <c r="J44" s="140" t="str">
        <f t="shared" si="10"/>
        <v/>
      </c>
      <c r="K44" s="142" t="str">
        <f t="shared" si="4"/>
        <v/>
      </c>
      <c r="L44" s="130" t="str">
        <f t="shared" si="5"/>
        <v/>
      </c>
      <c r="M44" s="53"/>
      <c r="N44" s="53"/>
      <c r="O44" s="21"/>
      <c r="P44" s="22"/>
      <c r="Q44" s="25">
        <f t="shared" si="1"/>
        <v>0</v>
      </c>
      <c r="R44" s="25">
        <f t="shared" si="15"/>
        <v>20</v>
      </c>
      <c r="S44" s="25">
        <f t="shared" si="16"/>
        <v>25</v>
      </c>
      <c r="T44" s="82">
        <f t="shared" si="6"/>
        <v>0</v>
      </c>
      <c r="U44" s="82">
        <f t="shared" si="6"/>
        <v>0</v>
      </c>
      <c r="V44" s="25">
        <f t="shared" si="7"/>
        <v>0</v>
      </c>
      <c r="W44" s="82">
        <f t="shared" si="7"/>
        <v>0</v>
      </c>
      <c r="X44" s="25">
        <f t="shared" si="8"/>
        <v>0</v>
      </c>
      <c r="Y44" s="82">
        <f t="shared" si="8"/>
        <v>0</v>
      </c>
    </row>
    <row r="45" spans="1:25" x14ac:dyDescent="0.25">
      <c r="A45" s="126" t="s">
        <v>44</v>
      </c>
      <c r="B45" s="127">
        <f t="shared" si="11"/>
        <v>9</v>
      </c>
      <c r="C45" s="127">
        <f t="shared" si="11"/>
        <v>25</v>
      </c>
      <c r="D45" s="127">
        <v>178</v>
      </c>
      <c r="E45" s="76">
        <f t="shared" si="9"/>
        <v>0.47368421052631576</v>
      </c>
      <c r="F45" s="128" t="str">
        <f t="shared" si="2"/>
        <v/>
      </c>
      <c r="G45" s="129" t="str">
        <f t="shared" si="12"/>
        <v/>
      </c>
      <c r="H45" s="129" t="str">
        <f t="shared" si="13"/>
        <v/>
      </c>
      <c r="I45" s="130" t="str">
        <f t="shared" si="14"/>
        <v/>
      </c>
      <c r="J45" s="140" t="str">
        <f t="shared" si="10"/>
        <v/>
      </c>
      <c r="K45" s="142" t="str">
        <f t="shared" si="4"/>
        <v/>
      </c>
      <c r="L45" s="130" t="str">
        <f t="shared" si="5"/>
        <v/>
      </c>
      <c r="M45" s="53"/>
      <c r="N45" s="53"/>
      <c r="O45" s="21"/>
      <c r="P45" s="22"/>
      <c r="Q45" s="25">
        <f t="shared" si="1"/>
        <v>1</v>
      </c>
      <c r="R45" s="25">
        <f t="shared" si="15"/>
        <v>25</v>
      </c>
      <c r="S45" s="25">
        <f t="shared" si="16"/>
        <v>25</v>
      </c>
      <c r="T45" s="82">
        <f t="shared" si="6"/>
        <v>0</v>
      </c>
      <c r="U45" s="82">
        <f t="shared" si="6"/>
        <v>0</v>
      </c>
      <c r="V45" s="25">
        <f t="shared" si="7"/>
        <v>0</v>
      </c>
      <c r="W45" s="82">
        <f t="shared" si="7"/>
        <v>0</v>
      </c>
      <c r="X45" s="25">
        <f t="shared" si="8"/>
        <v>0</v>
      </c>
      <c r="Y45" s="82">
        <f t="shared" si="8"/>
        <v>0</v>
      </c>
    </row>
    <row r="46" spans="1:25" x14ac:dyDescent="0.25">
      <c r="A46" s="126"/>
      <c r="B46" s="127">
        <f t="shared" si="11"/>
        <v>10</v>
      </c>
      <c r="C46" s="127">
        <f t="shared" si="11"/>
        <v>26</v>
      </c>
      <c r="D46" s="127">
        <v>158</v>
      </c>
      <c r="E46" s="76">
        <f t="shared" si="9"/>
        <v>0.52631578947368418</v>
      </c>
      <c r="F46" s="128" t="str">
        <f t="shared" si="2"/>
        <v/>
      </c>
      <c r="G46" s="129" t="str">
        <f t="shared" si="12"/>
        <v/>
      </c>
      <c r="H46" s="129" t="str">
        <f t="shared" si="13"/>
        <v/>
      </c>
      <c r="I46" s="130" t="str">
        <f t="shared" si="14"/>
        <v/>
      </c>
      <c r="J46" s="140" t="str">
        <f t="shared" si="10"/>
        <v/>
      </c>
      <c r="K46" s="142" t="str">
        <f t="shared" si="4"/>
        <v/>
      </c>
      <c r="L46" s="130" t="str">
        <f t="shared" si="5"/>
        <v/>
      </c>
      <c r="M46" s="53"/>
      <c r="N46" s="53"/>
      <c r="O46" s="21"/>
      <c r="P46" s="22"/>
      <c r="Q46" s="25">
        <f t="shared" si="1"/>
        <v>0</v>
      </c>
      <c r="R46" s="25">
        <f t="shared" si="15"/>
        <v>25</v>
      </c>
      <c r="S46" s="25">
        <f t="shared" si="16"/>
        <v>30</v>
      </c>
      <c r="T46" s="82">
        <f t="shared" si="6"/>
        <v>0</v>
      </c>
      <c r="U46" s="82">
        <f t="shared" si="6"/>
        <v>0</v>
      </c>
      <c r="V46" s="25">
        <f t="shared" si="7"/>
        <v>0</v>
      </c>
      <c r="W46" s="82">
        <f t="shared" si="7"/>
        <v>0</v>
      </c>
      <c r="X46" s="25">
        <f t="shared" si="8"/>
        <v>0</v>
      </c>
      <c r="Y46" s="82">
        <f t="shared" si="8"/>
        <v>0</v>
      </c>
    </row>
    <row r="47" spans="1:25" x14ac:dyDescent="0.25">
      <c r="A47" s="126"/>
      <c r="B47" s="127">
        <f t="shared" si="11"/>
        <v>11</v>
      </c>
      <c r="C47" s="127">
        <f t="shared" si="11"/>
        <v>27</v>
      </c>
      <c r="D47" s="127">
        <v>137</v>
      </c>
      <c r="E47" s="76">
        <f t="shared" si="9"/>
        <v>0.57894736842105265</v>
      </c>
      <c r="F47" s="128" t="str">
        <f t="shared" si="2"/>
        <v/>
      </c>
      <c r="G47" s="129" t="str">
        <f t="shared" si="12"/>
        <v/>
      </c>
      <c r="H47" s="129" t="str">
        <f t="shared" si="13"/>
        <v/>
      </c>
      <c r="I47" s="130" t="str">
        <f t="shared" si="14"/>
        <v/>
      </c>
      <c r="J47" s="140" t="str">
        <f t="shared" si="10"/>
        <v/>
      </c>
      <c r="K47" s="142" t="str">
        <f t="shared" si="4"/>
        <v/>
      </c>
      <c r="L47" s="130" t="str">
        <f t="shared" si="5"/>
        <v/>
      </c>
      <c r="M47" s="53"/>
      <c r="N47" s="53"/>
      <c r="O47" s="21"/>
      <c r="P47" s="22"/>
      <c r="Q47" s="25">
        <f t="shared" si="1"/>
        <v>0</v>
      </c>
      <c r="R47" s="25">
        <f t="shared" si="15"/>
        <v>25</v>
      </c>
      <c r="S47" s="25">
        <f t="shared" si="16"/>
        <v>30</v>
      </c>
      <c r="T47" s="82">
        <f t="shared" si="6"/>
        <v>0</v>
      </c>
      <c r="U47" s="82">
        <f t="shared" si="6"/>
        <v>0</v>
      </c>
      <c r="V47" s="25">
        <f t="shared" si="7"/>
        <v>0</v>
      </c>
      <c r="W47" s="82">
        <f t="shared" si="7"/>
        <v>0</v>
      </c>
      <c r="X47" s="25">
        <f t="shared" si="8"/>
        <v>0</v>
      </c>
      <c r="Y47" s="82">
        <f t="shared" si="8"/>
        <v>0</v>
      </c>
    </row>
    <row r="48" spans="1:25" x14ac:dyDescent="0.25">
      <c r="A48" s="126"/>
      <c r="B48" s="127">
        <f t="shared" si="11"/>
        <v>12</v>
      </c>
      <c r="C48" s="127">
        <f t="shared" si="11"/>
        <v>28</v>
      </c>
      <c r="D48" s="127">
        <v>109</v>
      </c>
      <c r="E48" s="76">
        <f t="shared" si="9"/>
        <v>0.63157894736842102</v>
      </c>
      <c r="F48" s="128" t="str">
        <f t="shared" si="2"/>
        <v/>
      </c>
      <c r="G48" s="129" t="str">
        <f t="shared" si="12"/>
        <v/>
      </c>
      <c r="H48" s="129" t="str">
        <f t="shared" si="13"/>
        <v/>
      </c>
      <c r="I48" s="130" t="str">
        <f t="shared" si="14"/>
        <v/>
      </c>
      <c r="J48" s="140" t="str">
        <f t="shared" si="10"/>
        <v/>
      </c>
      <c r="K48" s="142" t="str">
        <f t="shared" si="4"/>
        <v/>
      </c>
      <c r="L48" s="130" t="str">
        <f t="shared" si="5"/>
        <v/>
      </c>
      <c r="M48" s="53"/>
      <c r="N48" s="53"/>
      <c r="O48" s="21"/>
      <c r="P48" s="22"/>
      <c r="Q48" s="25">
        <f t="shared" si="1"/>
        <v>0</v>
      </c>
      <c r="R48" s="25">
        <f t="shared" si="15"/>
        <v>25</v>
      </c>
      <c r="S48" s="25">
        <f t="shared" si="16"/>
        <v>30</v>
      </c>
      <c r="T48" s="82">
        <f t="shared" si="6"/>
        <v>0</v>
      </c>
      <c r="U48" s="82">
        <f t="shared" si="6"/>
        <v>0</v>
      </c>
      <c r="V48" s="25">
        <f t="shared" si="7"/>
        <v>0</v>
      </c>
      <c r="W48" s="82">
        <f t="shared" si="7"/>
        <v>0</v>
      </c>
      <c r="X48" s="25">
        <f t="shared" si="8"/>
        <v>0</v>
      </c>
      <c r="Y48" s="82">
        <f t="shared" si="8"/>
        <v>0</v>
      </c>
    </row>
    <row r="49" spans="1:25" x14ac:dyDescent="0.25">
      <c r="A49" s="126"/>
      <c r="B49" s="127">
        <f t="shared" si="11"/>
        <v>13</v>
      </c>
      <c r="C49" s="127">
        <f t="shared" si="11"/>
        <v>29</v>
      </c>
      <c r="D49" s="127">
        <v>88</v>
      </c>
      <c r="E49" s="76">
        <f t="shared" si="9"/>
        <v>0.68421052631578949</v>
      </c>
      <c r="F49" s="128" t="str">
        <f t="shared" si="2"/>
        <v/>
      </c>
      <c r="G49" s="129" t="str">
        <f t="shared" si="12"/>
        <v/>
      </c>
      <c r="H49" s="129" t="str">
        <f t="shared" si="13"/>
        <v/>
      </c>
      <c r="I49" s="130" t="str">
        <f t="shared" si="14"/>
        <v/>
      </c>
      <c r="J49" s="140" t="str">
        <f t="shared" si="10"/>
        <v/>
      </c>
      <c r="K49" s="142" t="str">
        <f t="shared" si="4"/>
        <v/>
      </c>
      <c r="L49" s="130" t="str">
        <f t="shared" si="5"/>
        <v/>
      </c>
      <c r="M49" s="53"/>
      <c r="N49" s="53"/>
      <c r="O49" s="21"/>
      <c r="P49" s="22"/>
      <c r="Q49" s="25">
        <f t="shared" si="1"/>
        <v>0</v>
      </c>
      <c r="R49" s="25">
        <f t="shared" si="15"/>
        <v>25</v>
      </c>
      <c r="S49" s="25">
        <f t="shared" si="16"/>
        <v>30</v>
      </c>
      <c r="T49" s="82">
        <f t="shared" si="6"/>
        <v>0</v>
      </c>
      <c r="U49" s="82">
        <f t="shared" si="6"/>
        <v>0</v>
      </c>
      <c r="V49" s="25">
        <f t="shared" si="7"/>
        <v>0</v>
      </c>
      <c r="W49" s="82">
        <f t="shared" si="7"/>
        <v>0</v>
      </c>
      <c r="X49" s="25">
        <f t="shared" si="8"/>
        <v>0</v>
      </c>
      <c r="Y49" s="82">
        <f t="shared" si="8"/>
        <v>0</v>
      </c>
    </row>
    <row r="50" spans="1:25" x14ac:dyDescent="0.25">
      <c r="A50" s="126" t="s">
        <v>43</v>
      </c>
      <c r="B50" s="127">
        <f t="shared" si="11"/>
        <v>14</v>
      </c>
      <c r="C50" s="127">
        <f t="shared" si="11"/>
        <v>30</v>
      </c>
      <c r="D50" s="127">
        <v>63</v>
      </c>
      <c r="E50" s="76">
        <f t="shared" si="9"/>
        <v>0.73684210526315785</v>
      </c>
      <c r="F50" s="128" t="str">
        <f t="shared" si="2"/>
        <v/>
      </c>
      <c r="G50" s="129" t="str">
        <f t="shared" si="12"/>
        <v/>
      </c>
      <c r="H50" s="129" t="str">
        <f t="shared" si="13"/>
        <v/>
      </c>
      <c r="I50" s="130" t="str">
        <f t="shared" si="14"/>
        <v/>
      </c>
      <c r="J50" s="140" t="str">
        <f t="shared" si="10"/>
        <v/>
      </c>
      <c r="K50" s="142" t="str">
        <f t="shared" si="4"/>
        <v/>
      </c>
      <c r="L50" s="130" t="str">
        <f t="shared" si="5"/>
        <v/>
      </c>
      <c r="M50" s="53"/>
      <c r="N50" s="53"/>
      <c r="O50" s="21"/>
      <c r="P50" s="22"/>
      <c r="Q50" s="25">
        <f t="shared" si="1"/>
        <v>1</v>
      </c>
      <c r="R50" s="25">
        <f t="shared" si="15"/>
        <v>30</v>
      </c>
      <c r="S50" s="25">
        <f t="shared" si="16"/>
        <v>30</v>
      </c>
      <c r="T50" s="82">
        <f t="shared" si="6"/>
        <v>0</v>
      </c>
      <c r="U50" s="82">
        <f t="shared" si="6"/>
        <v>0</v>
      </c>
      <c r="V50" s="25">
        <f t="shared" si="7"/>
        <v>0</v>
      </c>
      <c r="W50" s="82">
        <f t="shared" si="7"/>
        <v>0</v>
      </c>
      <c r="X50" s="25">
        <f t="shared" si="8"/>
        <v>0</v>
      </c>
      <c r="Y50" s="82">
        <f t="shared" si="8"/>
        <v>0</v>
      </c>
    </row>
    <row r="51" spans="1:25" x14ac:dyDescent="0.25">
      <c r="A51" s="126"/>
      <c r="B51" s="127">
        <f t="shared" si="11"/>
        <v>15</v>
      </c>
      <c r="C51" s="127">
        <f t="shared" si="11"/>
        <v>31</v>
      </c>
      <c r="D51" s="127">
        <v>39</v>
      </c>
      <c r="E51" s="76">
        <f t="shared" si="9"/>
        <v>0.78947368421052633</v>
      </c>
      <c r="F51" s="128" t="str">
        <f t="shared" si="2"/>
        <v/>
      </c>
      <c r="G51" s="129" t="str">
        <f t="shared" si="12"/>
        <v/>
      </c>
      <c r="H51" s="129" t="str">
        <f t="shared" si="13"/>
        <v/>
      </c>
      <c r="I51" s="130" t="str">
        <f t="shared" si="14"/>
        <v/>
      </c>
      <c r="J51" s="140" t="str">
        <f t="shared" si="10"/>
        <v/>
      </c>
      <c r="K51" s="142" t="str">
        <f t="shared" si="4"/>
        <v/>
      </c>
      <c r="L51" s="130" t="str">
        <f t="shared" si="5"/>
        <v/>
      </c>
      <c r="M51" s="53"/>
      <c r="N51" s="53"/>
      <c r="O51" s="21"/>
      <c r="P51" s="22"/>
      <c r="Q51" s="25">
        <f t="shared" si="1"/>
        <v>0</v>
      </c>
      <c r="R51" s="25">
        <f t="shared" si="15"/>
        <v>30</v>
      </c>
      <c r="S51" s="25">
        <f t="shared" si="16"/>
        <v>35</v>
      </c>
      <c r="T51" s="82">
        <f t="shared" si="6"/>
        <v>0</v>
      </c>
      <c r="U51" s="82">
        <f t="shared" si="6"/>
        <v>0</v>
      </c>
      <c r="V51" s="25">
        <f t="shared" si="7"/>
        <v>0</v>
      </c>
      <c r="W51" s="82">
        <f t="shared" si="7"/>
        <v>0</v>
      </c>
      <c r="X51" s="25">
        <f t="shared" si="8"/>
        <v>0</v>
      </c>
      <c r="Y51" s="82">
        <f t="shared" si="8"/>
        <v>0</v>
      </c>
    </row>
    <row r="52" spans="1:25" x14ac:dyDescent="0.25">
      <c r="A52" s="126"/>
      <c r="B52" s="127">
        <f t="shared" si="11"/>
        <v>16</v>
      </c>
      <c r="C52" s="127">
        <f t="shared" si="11"/>
        <v>32</v>
      </c>
      <c r="D52" s="127">
        <v>31</v>
      </c>
      <c r="E52" s="76">
        <f t="shared" si="9"/>
        <v>0.84210526315789469</v>
      </c>
      <c r="F52" s="128" t="str">
        <f t="shared" si="2"/>
        <v/>
      </c>
      <c r="G52" s="129" t="str">
        <f t="shared" si="12"/>
        <v/>
      </c>
      <c r="H52" s="129" t="str">
        <f t="shared" si="13"/>
        <v/>
      </c>
      <c r="I52" s="130" t="str">
        <f t="shared" si="14"/>
        <v/>
      </c>
      <c r="J52" s="140" t="str">
        <f t="shared" si="10"/>
        <v/>
      </c>
      <c r="K52" s="142" t="str">
        <f t="shared" si="4"/>
        <v/>
      </c>
      <c r="L52" s="130" t="str">
        <f t="shared" si="5"/>
        <v/>
      </c>
      <c r="M52" s="53"/>
      <c r="N52" s="53"/>
      <c r="O52" s="21"/>
      <c r="P52" s="22"/>
      <c r="Q52" s="25">
        <f t="shared" si="1"/>
        <v>0</v>
      </c>
      <c r="R52" s="25">
        <f t="shared" si="15"/>
        <v>30</v>
      </c>
      <c r="S52" s="25">
        <f t="shared" si="16"/>
        <v>35</v>
      </c>
      <c r="T52" s="82">
        <f t="shared" si="6"/>
        <v>0</v>
      </c>
      <c r="U52" s="82">
        <f t="shared" si="6"/>
        <v>0</v>
      </c>
      <c r="V52" s="25">
        <f t="shared" si="7"/>
        <v>0</v>
      </c>
      <c r="W52" s="82">
        <f t="shared" si="7"/>
        <v>0</v>
      </c>
      <c r="X52" s="25">
        <f t="shared" si="8"/>
        <v>0</v>
      </c>
      <c r="Y52" s="82">
        <f t="shared" si="8"/>
        <v>0</v>
      </c>
    </row>
    <row r="53" spans="1:25" x14ac:dyDescent="0.25">
      <c r="A53" s="126"/>
      <c r="B53" s="127">
        <f t="shared" si="11"/>
        <v>17</v>
      </c>
      <c r="C53" s="127">
        <f t="shared" si="11"/>
        <v>33</v>
      </c>
      <c r="D53" s="127">
        <v>24</v>
      </c>
      <c r="E53" s="76">
        <f t="shared" si="9"/>
        <v>0.89473684210526316</v>
      </c>
      <c r="F53" s="128" t="str">
        <f t="shared" si="2"/>
        <v/>
      </c>
      <c r="G53" s="129" t="str">
        <f t="shared" si="12"/>
        <v/>
      </c>
      <c r="H53" s="129" t="str">
        <f t="shared" si="13"/>
        <v/>
      </c>
      <c r="I53" s="130" t="str">
        <f t="shared" si="14"/>
        <v/>
      </c>
      <c r="J53" s="140" t="str">
        <f t="shared" si="10"/>
        <v/>
      </c>
      <c r="K53" s="142" t="str">
        <f t="shared" si="4"/>
        <v/>
      </c>
      <c r="L53" s="130" t="str">
        <f t="shared" si="5"/>
        <v/>
      </c>
      <c r="M53" s="53"/>
      <c r="N53" s="53"/>
      <c r="O53" s="21"/>
      <c r="P53" s="22"/>
      <c r="Q53" s="25">
        <f t="shared" si="1"/>
        <v>0</v>
      </c>
      <c r="R53" s="25">
        <f t="shared" si="15"/>
        <v>30</v>
      </c>
      <c r="S53" s="25">
        <f t="shared" si="16"/>
        <v>35</v>
      </c>
      <c r="T53" s="82">
        <f t="shared" si="6"/>
        <v>0</v>
      </c>
      <c r="U53" s="82">
        <f t="shared" si="6"/>
        <v>0</v>
      </c>
      <c r="V53" s="25">
        <f t="shared" si="7"/>
        <v>0</v>
      </c>
      <c r="W53" s="82">
        <f t="shared" si="7"/>
        <v>0</v>
      </c>
      <c r="X53" s="25">
        <f t="shared" si="8"/>
        <v>0</v>
      </c>
      <c r="Y53" s="82">
        <f t="shared" si="8"/>
        <v>0</v>
      </c>
    </row>
    <row r="54" spans="1:25" x14ac:dyDescent="0.25">
      <c r="A54" s="126"/>
      <c r="B54" s="127">
        <f t="shared" si="11"/>
        <v>18</v>
      </c>
      <c r="C54" s="127">
        <f t="shared" si="11"/>
        <v>34</v>
      </c>
      <c r="D54" s="127">
        <v>17</v>
      </c>
      <c r="E54" s="76">
        <f t="shared" si="9"/>
        <v>0.94736842105263153</v>
      </c>
      <c r="F54" s="128" t="str">
        <f t="shared" si="2"/>
        <v/>
      </c>
      <c r="G54" s="129" t="str">
        <f t="shared" si="12"/>
        <v/>
      </c>
      <c r="H54" s="129" t="str">
        <f t="shared" si="13"/>
        <v/>
      </c>
      <c r="I54" s="130" t="str">
        <f t="shared" si="14"/>
        <v/>
      </c>
      <c r="J54" s="140" t="str">
        <f t="shared" si="10"/>
        <v/>
      </c>
      <c r="K54" s="142" t="str">
        <f t="shared" si="4"/>
        <v/>
      </c>
      <c r="L54" s="130" t="str">
        <f t="shared" si="5"/>
        <v/>
      </c>
      <c r="M54" s="53"/>
      <c r="N54" s="53"/>
      <c r="O54" s="21"/>
      <c r="P54" s="22"/>
      <c r="Q54" s="25">
        <f t="shared" si="1"/>
        <v>0</v>
      </c>
      <c r="R54" s="25">
        <f t="shared" si="15"/>
        <v>30</v>
      </c>
      <c r="S54" s="25">
        <f t="shared" si="16"/>
        <v>35</v>
      </c>
      <c r="T54" s="82">
        <f t="shared" si="6"/>
        <v>0</v>
      </c>
      <c r="U54" s="82">
        <f t="shared" si="6"/>
        <v>0</v>
      </c>
      <c r="V54" s="25">
        <f t="shared" si="7"/>
        <v>0</v>
      </c>
      <c r="W54" s="82">
        <f t="shared" si="7"/>
        <v>0</v>
      </c>
      <c r="X54" s="25">
        <f t="shared" si="8"/>
        <v>0</v>
      </c>
      <c r="Y54" s="82">
        <f t="shared" si="8"/>
        <v>0</v>
      </c>
    </row>
    <row r="55" spans="1:25" x14ac:dyDescent="0.25">
      <c r="A55" s="126" t="s">
        <v>42</v>
      </c>
      <c r="B55" s="127">
        <f t="shared" ref="B55:C60" si="17">B54+1</f>
        <v>19</v>
      </c>
      <c r="C55" s="127">
        <f t="shared" si="17"/>
        <v>35</v>
      </c>
      <c r="D55" s="127">
        <v>13</v>
      </c>
      <c r="E55" s="76">
        <f t="shared" si="9"/>
        <v>1</v>
      </c>
      <c r="F55" s="128" t="str">
        <f t="shared" si="2"/>
        <v/>
      </c>
      <c r="G55" s="129" t="str">
        <f t="shared" si="12"/>
        <v/>
      </c>
      <c r="H55" s="129" t="str">
        <f t="shared" si="13"/>
        <v/>
      </c>
      <c r="I55" s="130" t="str">
        <f t="shared" si="14"/>
        <v/>
      </c>
      <c r="J55" s="140" t="str">
        <f t="shared" si="10"/>
        <v/>
      </c>
      <c r="K55" s="142" t="str">
        <f t="shared" si="4"/>
        <v/>
      </c>
      <c r="L55" s="130" t="str">
        <f t="shared" si="5"/>
        <v/>
      </c>
      <c r="M55" s="53"/>
      <c r="N55" s="53"/>
      <c r="O55" s="21"/>
      <c r="P55" s="22"/>
      <c r="Q55" s="25">
        <f t="shared" si="1"/>
        <v>1</v>
      </c>
      <c r="R55" s="25">
        <f t="shared" si="15"/>
        <v>35</v>
      </c>
      <c r="S55" s="25">
        <f t="shared" si="16"/>
        <v>35</v>
      </c>
      <c r="T55" s="82">
        <f t="shared" si="6"/>
        <v>0</v>
      </c>
      <c r="U55" s="82">
        <f t="shared" si="6"/>
        <v>0</v>
      </c>
      <c r="V55" s="25">
        <f t="shared" si="7"/>
        <v>0</v>
      </c>
      <c r="W55" s="82">
        <f t="shared" si="7"/>
        <v>0</v>
      </c>
      <c r="X55" s="25">
        <f t="shared" si="8"/>
        <v>0</v>
      </c>
      <c r="Y55" s="82">
        <f t="shared" si="8"/>
        <v>0</v>
      </c>
    </row>
    <row r="56" spans="1:25" x14ac:dyDescent="0.25">
      <c r="A56" s="126"/>
      <c r="B56" s="127">
        <f t="shared" si="17"/>
        <v>20</v>
      </c>
      <c r="C56" s="127">
        <f t="shared" si="17"/>
        <v>36</v>
      </c>
      <c r="D56" s="127">
        <v>9</v>
      </c>
      <c r="E56" s="76">
        <v>1</v>
      </c>
      <c r="F56" s="128" t="str">
        <f t="shared" si="2"/>
        <v/>
      </c>
      <c r="G56" s="129" t="str">
        <f t="shared" ref="G56:I60" si="18">IF($S$33&gt;0,"",G$55)</f>
        <v/>
      </c>
      <c r="H56" s="129" t="str">
        <f t="shared" si="18"/>
        <v/>
      </c>
      <c r="I56" s="130" t="str">
        <f t="shared" si="18"/>
        <v/>
      </c>
      <c r="J56" s="140" t="str">
        <f t="shared" si="10"/>
        <v/>
      </c>
      <c r="K56" s="142" t="str">
        <f t="shared" si="4"/>
        <v/>
      </c>
      <c r="L56" s="130" t="str">
        <f t="shared" si="5"/>
        <v/>
      </c>
      <c r="M56" s="53"/>
      <c r="N56" s="53"/>
      <c r="O56" s="21"/>
      <c r="P56" s="22"/>
      <c r="Q56" s="25">
        <f t="shared" si="1"/>
        <v>0</v>
      </c>
      <c r="R56" s="25">
        <f t="shared" si="15"/>
        <v>35</v>
      </c>
      <c r="S56" s="25">
        <f t="shared" si="16"/>
        <v>30</v>
      </c>
      <c r="T56" s="82">
        <f t="shared" si="6"/>
        <v>0</v>
      </c>
      <c r="U56" s="82">
        <f t="shared" si="6"/>
        <v>0</v>
      </c>
      <c r="V56" s="25">
        <f t="shared" si="7"/>
        <v>0</v>
      </c>
      <c r="W56" s="82">
        <f t="shared" si="7"/>
        <v>0</v>
      </c>
      <c r="X56" s="25">
        <f t="shared" si="8"/>
        <v>0</v>
      </c>
      <c r="Y56" s="82">
        <f t="shared" si="8"/>
        <v>0</v>
      </c>
    </row>
    <row r="57" spans="1:25" x14ac:dyDescent="0.25">
      <c r="A57" s="126"/>
      <c r="B57" s="127">
        <f t="shared" si="17"/>
        <v>21</v>
      </c>
      <c r="C57" s="127">
        <f t="shared" si="17"/>
        <v>37</v>
      </c>
      <c r="D57" s="127">
        <v>4</v>
      </c>
      <c r="E57" s="76">
        <v>1</v>
      </c>
      <c r="F57" s="128" t="str">
        <f t="shared" si="2"/>
        <v/>
      </c>
      <c r="G57" s="129" t="str">
        <f t="shared" si="18"/>
        <v/>
      </c>
      <c r="H57" s="129" t="str">
        <f t="shared" si="18"/>
        <v/>
      </c>
      <c r="I57" s="130" t="str">
        <f t="shared" si="18"/>
        <v/>
      </c>
      <c r="J57" s="140" t="str">
        <f t="shared" si="10"/>
        <v/>
      </c>
      <c r="K57" s="142" t="str">
        <f t="shared" si="4"/>
        <v/>
      </c>
      <c r="L57" s="130" t="str">
        <f t="shared" si="5"/>
        <v/>
      </c>
      <c r="M57" s="53"/>
      <c r="N57" s="53"/>
      <c r="O57" s="21"/>
      <c r="P57" s="22"/>
      <c r="Q57" s="25">
        <f t="shared" si="1"/>
        <v>0</v>
      </c>
      <c r="R57" s="25">
        <v>35</v>
      </c>
      <c r="S57" s="25">
        <f t="shared" si="16"/>
        <v>30</v>
      </c>
      <c r="T57" s="82">
        <f t="shared" si="6"/>
        <v>0</v>
      </c>
      <c r="U57" s="82">
        <f t="shared" si="6"/>
        <v>0</v>
      </c>
      <c r="V57" s="25">
        <f t="shared" si="7"/>
        <v>0</v>
      </c>
      <c r="W57" s="82">
        <f t="shared" si="7"/>
        <v>0</v>
      </c>
      <c r="X57" s="25">
        <f t="shared" si="8"/>
        <v>0</v>
      </c>
      <c r="Y57" s="82">
        <f t="shared" si="8"/>
        <v>0</v>
      </c>
    </row>
    <row r="58" spans="1:25" x14ac:dyDescent="0.25">
      <c r="A58" s="126"/>
      <c r="B58" s="127">
        <f t="shared" si="17"/>
        <v>22</v>
      </c>
      <c r="C58" s="127">
        <f t="shared" si="17"/>
        <v>38</v>
      </c>
      <c r="D58" s="127">
        <v>3</v>
      </c>
      <c r="E58" s="76">
        <v>1</v>
      </c>
      <c r="F58" s="128" t="str">
        <f t="shared" si="2"/>
        <v/>
      </c>
      <c r="G58" s="129" t="str">
        <f t="shared" si="18"/>
        <v/>
      </c>
      <c r="H58" s="129" t="str">
        <f t="shared" si="18"/>
        <v/>
      </c>
      <c r="I58" s="130" t="str">
        <f t="shared" si="18"/>
        <v/>
      </c>
      <c r="J58" s="140" t="str">
        <f t="shared" si="10"/>
        <v/>
      </c>
      <c r="K58" s="142" t="str">
        <f t="shared" si="4"/>
        <v/>
      </c>
      <c r="L58" s="130" t="str">
        <f t="shared" si="5"/>
        <v/>
      </c>
      <c r="M58" s="53"/>
      <c r="N58" s="53"/>
      <c r="O58" s="21"/>
      <c r="P58" s="22"/>
      <c r="Q58" s="25">
        <f t="shared" si="1"/>
        <v>0</v>
      </c>
      <c r="R58" s="25">
        <f>IF(Q58=0,R57,C58)</f>
        <v>35</v>
      </c>
      <c r="S58" s="25">
        <f t="shared" si="16"/>
        <v>30</v>
      </c>
      <c r="T58" s="82">
        <f t="shared" si="6"/>
        <v>0</v>
      </c>
      <c r="U58" s="82">
        <f t="shared" si="6"/>
        <v>0</v>
      </c>
      <c r="V58" s="25">
        <f t="shared" si="7"/>
        <v>0</v>
      </c>
      <c r="W58" s="82">
        <f t="shared" si="7"/>
        <v>0</v>
      </c>
      <c r="X58" s="25">
        <f t="shared" si="8"/>
        <v>0</v>
      </c>
      <c r="Y58" s="82">
        <f t="shared" si="8"/>
        <v>0</v>
      </c>
    </row>
    <row r="59" spans="1:25" x14ac:dyDescent="0.25">
      <c r="A59" s="126"/>
      <c r="B59" s="127">
        <f t="shared" si="17"/>
        <v>23</v>
      </c>
      <c r="C59" s="127">
        <f t="shared" si="17"/>
        <v>39</v>
      </c>
      <c r="D59" s="127">
        <v>1</v>
      </c>
      <c r="E59" s="76">
        <v>1</v>
      </c>
      <c r="F59" s="128" t="str">
        <f t="shared" si="2"/>
        <v/>
      </c>
      <c r="G59" s="129" t="str">
        <f t="shared" si="18"/>
        <v/>
      </c>
      <c r="H59" s="129" t="str">
        <f t="shared" si="18"/>
        <v/>
      </c>
      <c r="I59" s="130" t="str">
        <f t="shared" si="18"/>
        <v/>
      </c>
      <c r="J59" s="140" t="str">
        <f t="shared" si="10"/>
        <v/>
      </c>
      <c r="K59" s="142" t="str">
        <f t="shared" si="4"/>
        <v/>
      </c>
      <c r="L59" s="130" t="str">
        <f t="shared" si="5"/>
        <v/>
      </c>
      <c r="M59" s="53"/>
      <c r="N59" s="53"/>
      <c r="O59" s="21"/>
      <c r="P59" s="22"/>
      <c r="Q59" s="25">
        <f t="shared" si="1"/>
        <v>0</v>
      </c>
      <c r="R59" s="25">
        <f>IF(Q59=0,R58,C59)</f>
        <v>35</v>
      </c>
      <c r="S59" s="25">
        <f t="shared" si="16"/>
        <v>30</v>
      </c>
      <c r="T59" s="82">
        <f t="shared" si="6"/>
        <v>0</v>
      </c>
      <c r="U59" s="82">
        <f t="shared" si="6"/>
        <v>0</v>
      </c>
      <c r="V59" s="25">
        <f t="shared" si="7"/>
        <v>0</v>
      </c>
      <c r="W59" s="82">
        <f t="shared" si="7"/>
        <v>0</v>
      </c>
      <c r="X59" s="25">
        <f t="shared" si="8"/>
        <v>0</v>
      </c>
      <c r="Y59" s="82">
        <f t="shared" si="8"/>
        <v>0</v>
      </c>
    </row>
    <row r="60" spans="1:25" ht="18.75" thickBot="1" x14ac:dyDescent="0.3">
      <c r="A60" s="131"/>
      <c r="B60" s="132">
        <f t="shared" si="17"/>
        <v>24</v>
      </c>
      <c r="C60" s="132">
        <f t="shared" si="17"/>
        <v>40</v>
      </c>
      <c r="D60" s="132">
        <v>0</v>
      </c>
      <c r="E60" s="85">
        <v>1</v>
      </c>
      <c r="F60" s="133" t="str">
        <f t="shared" si="2"/>
        <v/>
      </c>
      <c r="G60" s="134" t="str">
        <f t="shared" si="18"/>
        <v/>
      </c>
      <c r="H60" s="134" t="str">
        <f t="shared" si="18"/>
        <v/>
      </c>
      <c r="I60" s="135" t="str">
        <f t="shared" si="18"/>
        <v/>
      </c>
      <c r="J60" s="141" t="str">
        <f t="shared" si="10"/>
        <v/>
      </c>
      <c r="K60" s="143" t="str">
        <f t="shared" si="4"/>
        <v/>
      </c>
      <c r="L60" s="135" t="str">
        <f t="shared" si="5"/>
        <v/>
      </c>
      <c r="M60" s="53"/>
      <c r="N60" s="53"/>
      <c r="O60" s="21"/>
      <c r="P60" s="22"/>
      <c r="Q60" s="25">
        <f t="shared" si="1"/>
        <v>0</v>
      </c>
      <c r="R60" s="25">
        <f>IF(Q60=0,R59,C60)</f>
        <v>35</v>
      </c>
      <c r="S60" s="25">
        <v>30</v>
      </c>
      <c r="T60" s="82">
        <f t="shared" si="6"/>
        <v>0</v>
      </c>
      <c r="U60" s="82">
        <f t="shared" si="6"/>
        <v>0</v>
      </c>
      <c r="V60" s="25">
        <f t="shared" si="7"/>
        <v>0</v>
      </c>
      <c r="W60" s="82">
        <f t="shared" si="7"/>
        <v>0</v>
      </c>
      <c r="X60" s="25">
        <f t="shared" si="8"/>
        <v>0</v>
      </c>
      <c r="Y60" s="82">
        <f t="shared" si="8"/>
        <v>0</v>
      </c>
    </row>
    <row r="61" spans="1:25" x14ac:dyDescent="0.25">
      <c r="A61" s="21"/>
      <c r="B61" s="21"/>
      <c r="C61" s="21"/>
      <c r="D61" s="136">
        <f>SUM(D37:D60)</f>
        <v>2602</v>
      </c>
      <c r="E61" s="21"/>
      <c r="F61" s="21"/>
      <c r="G61" s="21"/>
      <c r="H61" s="21"/>
      <c r="I61" s="21"/>
      <c r="J61" s="136">
        <f>SUM(J37:J60)</f>
        <v>0</v>
      </c>
      <c r="K61" s="136">
        <f t="shared" ref="K61:L61" si="19">SUM(K37:K60)</f>
        <v>0</v>
      </c>
      <c r="L61" s="136">
        <f t="shared" si="19"/>
        <v>0</v>
      </c>
      <c r="M61" s="53"/>
      <c r="N61" s="53"/>
      <c r="O61" s="21"/>
      <c r="P61" s="22"/>
      <c r="Q61" s="145"/>
      <c r="R61" s="145"/>
      <c r="S61" s="94"/>
    </row>
    <row r="62" spans="1:25" x14ac:dyDescent="0.25">
      <c r="A62" s="21"/>
      <c r="B62" s="21"/>
      <c r="C62" s="21"/>
      <c r="D62" s="21"/>
      <c r="E62" s="21"/>
      <c r="F62" s="21"/>
      <c r="G62" s="21"/>
      <c r="H62" s="21"/>
      <c r="I62" s="21"/>
      <c r="J62" s="21"/>
      <c r="K62" s="21"/>
      <c r="L62" s="21"/>
      <c r="M62" s="21"/>
      <c r="N62" s="21"/>
      <c r="O62" s="21"/>
      <c r="P62" s="22"/>
    </row>
    <row r="63" spans="1:25" x14ac:dyDescent="0.25">
      <c r="A63" s="21"/>
      <c r="B63" s="21"/>
      <c r="C63" s="21"/>
      <c r="D63" s="21"/>
      <c r="E63" s="21"/>
      <c r="F63" s="21"/>
      <c r="G63" s="21"/>
      <c r="H63" s="21"/>
      <c r="I63" s="21"/>
      <c r="J63" s="21"/>
      <c r="K63" s="21"/>
      <c r="L63" s="21"/>
      <c r="M63" s="21"/>
      <c r="N63" s="21"/>
      <c r="O63" s="21"/>
      <c r="P63" s="21"/>
    </row>
    <row r="64" spans="1:25" x14ac:dyDescent="0.25">
      <c r="A64" s="21"/>
      <c r="B64" s="21"/>
      <c r="C64" s="21"/>
      <c r="D64" s="21"/>
      <c r="E64" s="21"/>
      <c r="F64" s="21"/>
      <c r="G64" s="21"/>
      <c r="H64" s="21"/>
      <c r="I64" s="21"/>
      <c r="J64" s="21"/>
      <c r="K64" s="21"/>
      <c r="L64" s="21"/>
      <c r="M64" s="21"/>
      <c r="N64" s="21"/>
      <c r="O64" s="21"/>
      <c r="P64" s="21"/>
    </row>
    <row r="65" spans="1:52" x14ac:dyDescent="0.25">
      <c r="A65" s="21"/>
      <c r="B65" s="21"/>
      <c r="C65" s="21"/>
      <c r="D65" s="21"/>
      <c r="E65" s="21"/>
      <c r="F65" s="21"/>
      <c r="G65" s="21"/>
      <c r="H65" s="21"/>
      <c r="I65" s="21"/>
      <c r="J65" s="21"/>
      <c r="K65" s="21"/>
      <c r="L65" s="21"/>
      <c r="M65" s="21"/>
      <c r="N65" s="21"/>
      <c r="O65" s="21"/>
      <c r="P65" s="21"/>
    </row>
    <row r="66" spans="1:52" x14ac:dyDescent="0.25">
      <c r="A66" s="21"/>
      <c r="B66" s="21"/>
      <c r="C66" s="21"/>
      <c r="D66" s="21"/>
      <c r="E66" s="21"/>
      <c r="F66" s="21"/>
      <c r="G66" s="21"/>
      <c r="H66" s="21"/>
      <c r="I66" s="21"/>
      <c r="J66" s="21"/>
      <c r="K66" s="21"/>
      <c r="L66" s="21"/>
      <c r="M66" s="21"/>
      <c r="N66" s="21"/>
      <c r="O66" s="21"/>
      <c r="P66" s="21"/>
    </row>
    <row r="67" spans="1:52" x14ac:dyDescent="0.25">
      <c r="A67" s="21"/>
      <c r="B67" s="21"/>
      <c r="C67" s="21"/>
      <c r="D67" s="21"/>
      <c r="E67" s="21"/>
      <c r="F67" s="21"/>
      <c r="G67" s="21"/>
      <c r="H67" s="21"/>
      <c r="I67" s="21"/>
      <c r="J67" s="21"/>
      <c r="K67" s="21"/>
      <c r="L67" s="21"/>
      <c r="M67" s="21"/>
      <c r="N67" s="21"/>
      <c r="O67" s="21"/>
      <c r="P67" s="21"/>
    </row>
    <row r="68" spans="1:52" s="27" customFormat="1" x14ac:dyDescent="0.25">
      <c r="A68" s="21"/>
      <c r="B68" s="21"/>
      <c r="C68" s="21"/>
      <c r="D68" s="93"/>
      <c r="E68" s="21"/>
      <c r="F68" s="21"/>
      <c r="G68" s="21"/>
      <c r="H68" s="21"/>
      <c r="I68" s="21"/>
      <c r="J68" s="21"/>
      <c r="K68" s="21"/>
      <c r="L68" s="21"/>
      <c r="M68" s="21"/>
      <c r="N68" s="21"/>
      <c r="O68" s="21"/>
      <c r="P68" s="21"/>
      <c r="Q68" s="25"/>
      <c r="R68" s="25"/>
      <c r="S68" s="94"/>
      <c r="T68" s="94"/>
      <c r="U68" s="94"/>
      <c r="V68" s="94"/>
      <c r="W68" s="94"/>
      <c r="X68" s="94"/>
      <c r="Y68" s="94"/>
      <c r="Z68" s="146"/>
      <c r="AA68" s="146"/>
      <c r="AB68" s="146"/>
      <c r="AC68" s="146"/>
      <c r="AD68" s="146"/>
      <c r="AE68" s="146"/>
      <c r="AF68" s="146"/>
      <c r="AG68" s="139"/>
      <c r="AH68" s="139"/>
      <c r="AI68" s="139"/>
      <c r="AJ68" s="139"/>
      <c r="AK68" s="139"/>
      <c r="AL68" s="139"/>
      <c r="AM68" s="139"/>
      <c r="AN68" s="139"/>
      <c r="AO68" s="139"/>
      <c r="AP68" s="139"/>
      <c r="AQ68" s="139"/>
      <c r="AR68" s="139"/>
      <c r="AS68" s="139"/>
      <c r="AT68" s="139"/>
      <c r="AU68" s="139"/>
      <c r="AV68" s="139"/>
      <c r="AW68" s="139"/>
      <c r="AX68" s="139"/>
      <c r="AY68" s="139"/>
      <c r="AZ68" s="139"/>
    </row>
    <row r="69" spans="1:52" s="27" customFormat="1" x14ac:dyDescent="0.25">
      <c r="D69" s="95"/>
      <c r="Q69" s="25"/>
      <c r="R69" s="25"/>
      <c r="S69" s="94"/>
      <c r="T69" s="94"/>
      <c r="U69" s="94"/>
      <c r="V69" s="94"/>
      <c r="W69" s="94"/>
      <c r="X69" s="94"/>
      <c r="Y69" s="94"/>
      <c r="Z69" s="146"/>
      <c r="AA69" s="146"/>
      <c r="AB69" s="146"/>
      <c r="AC69" s="146"/>
      <c r="AD69" s="146"/>
      <c r="AE69" s="146"/>
      <c r="AF69" s="146"/>
      <c r="AG69" s="139"/>
      <c r="AH69" s="139"/>
      <c r="AI69" s="139"/>
      <c r="AJ69" s="139"/>
      <c r="AK69" s="139"/>
      <c r="AL69" s="139"/>
      <c r="AM69" s="139"/>
      <c r="AN69" s="139"/>
      <c r="AO69" s="139"/>
      <c r="AP69" s="139"/>
      <c r="AQ69" s="139"/>
      <c r="AR69" s="139"/>
      <c r="AS69" s="139"/>
      <c r="AT69" s="139"/>
      <c r="AU69" s="139"/>
      <c r="AV69" s="139"/>
      <c r="AW69" s="139"/>
      <c r="AX69" s="139"/>
      <c r="AY69" s="139"/>
      <c r="AZ69" s="139"/>
    </row>
    <row r="70" spans="1:52" s="27" customFormat="1" x14ac:dyDescent="0.25">
      <c r="D70" s="95"/>
      <c r="Q70" s="25"/>
      <c r="R70" s="25"/>
      <c r="S70" s="94"/>
      <c r="T70" s="94"/>
      <c r="U70" s="94"/>
      <c r="V70" s="94"/>
      <c r="W70" s="94"/>
      <c r="X70" s="94"/>
      <c r="Y70" s="94"/>
      <c r="Z70" s="146"/>
      <c r="AA70" s="146"/>
      <c r="AB70" s="146"/>
      <c r="AC70" s="146"/>
      <c r="AD70" s="146"/>
      <c r="AE70" s="146"/>
      <c r="AF70" s="146"/>
      <c r="AG70" s="139"/>
      <c r="AH70" s="139"/>
      <c r="AI70" s="139"/>
      <c r="AJ70" s="139"/>
      <c r="AK70" s="139"/>
      <c r="AL70" s="139"/>
      <c r="AM70" s="139"/>
      <c r="AN70" s="139"/>
      <c r="AO70" s="139"/>
      <c r="AP70" s="139"/>
      <c r="AQ70" s="139"/>
      <c r="AR70" s="139"/>
      <c r="AS70" s="139"/>
      <c r="AT70" s="139"/>
      <c r="AU70" s="139"/>
      <c r="AV70" s="139"/>
      <c r="AW70" s="139"/>
      <c r="AX70" s="139"/>
      <c r="AY70" s="139"/>
      <c r="AZ70" s="139"/>
    </row>
    <row r="71" spans="1:52" s="27" customFormat="1" x14ac:dyDescent="0.25">
      <c r="D71" s="95"/>
      <c r="Q71" s="25"/>
      <c r="R71" s="25"/>
      <c r="S71" s="94"/>
      <c r="T71" s="94"/>
      <c r="U71" s="94"/>
      <c r="V71" s="94"/>
      <c r="W71" s="94"/>
      <c r="X71" s="94"/>
      <c r="Y71" s="94"/>
      <c r="Z71" s="146"/>
      <c r="AA71" s="146"/>
      <c r="AB71" s="146"/>
      <c r="AC71" s="146"/>
      <c r="AD71" s="146"/>
      <c r="AE71" s="146"/>
      <c r="AF71" s="146"/>
      <c r="AG71" s="139"/>
      <c r="AH71" s="139"/>
      <c r="AI71" s="139"/>
      <c r="AJ71" s="139"/>
      <c r="AK71" s="139"/>
      <c r="AL71" s="139"/>
      <c r="AM71" s="139"/>
      <c r="AN71" s="139"/>
      <c r="AO71" s="139"/>
      <c r="AP71" s="139"/>
      <c r="AQ71" s="139"/>
      <c r="AR71" s="139"/>
      <c r="AS71" s="139"/>
      <c r="AT71" s="139"/>
      <c r="AU71" s="139"/>
      <c r="AV71" s="139"/>
      <c r="AW71" s="139"/>
      <c r="AX71" s="139"/>
      <c r="AY71" s="139"/>
      <c r="AZ71" s="139"/>
    </row>
  </sheetData>
  <sheetProtection algorithmName="SHA-512" hashValue="WzDCeIhYLFWFqjV7I6fEx1FMSCoSlvBDR5YSCHKezTeTOZ3hnT3/HP0JYLpZFe9x0QPeTVdMjLcerwCODuhP+w==" saltValue="2igbuMxvOEm82KOg2nvToA==" spinCount="100000" sheet="1" objects="1" scenarios="1"/>
  <mergeCells count="22">
    <mergeCell ref="K11:M11"/>
    <mergeCell ref="A34:A35"/>
    <mergeCell ref="G34:I34"/>
    <mergeCell ref="A33:L33"/>
    <mergeCell ref="A15:H15"/>
    <mergeCell ref="A25:I25"/>
    <mergeCell ref="F26:I26"/>
    <mergeCell ref="K12:M12"/>
    <mergeCell ref="K13:M13"/>
    <mergeCell ref="K14:M14"/>
    <mergeCell ref="K15:M15"/>
    <mergeCell ref="K17:M17"/>
    <mergeCell ref="I8:L8"/>
    <mergeCell ref="I9:L9"/>
    <mergeCell ref="I2:L2"/>
    <mergeCell ref="A3:B3"/>
    <mergeCell ref="D3:F3"/>
    <mergeCell ref="I3:L3"/>
    <mergeCell ref="I4:L4"/>
    <mergeCell ref="I5:L5"/>
    <mergeCell ref="I6:L6"/>
    <mergeCell ref="I7:L7"/>
  </mergeCells>
  <conditionalFormatting sqref="A36">
    <cfRule type="cellIs" dxfId="1" priority="1" operator="equal">
      <formula>"E"</formula>
    </cfRule>
  </conditionalFormatting>
  <conditionalFormatting sqref="A37:L60">
    <cfRule type="expression" dxfId="0" priority="2">
      <formula>$Q37=1</formula>
    </cfRule>
  </conditionalFormatting>
  <dataValidations count="5">
    <dataValidation type="list" allowBlank="1" showInputMessage="1" showErrorMessage="1" sqref="B11">
      <formula1>"GCV, NCV"</formula1>
    </dataValidation>
    <dataValidation type="list" allowBlank="1" showInputMessage="1" showErrorMessage="1" sqref="B9:B10">
      <formula1>"fixed,variable"</formula1>
    </dataValidation>
    <dataValidation type="list" allowBlank="1" showInputMessage="1" showErrorMessage="1" sqref="B8">
      <formula1>"12/7°C,23/18°C"</formula1>
    </dataValidation>
    <dataValidation type="list" allowBlank="1" showInputMessage="1" showErrorMessage="1" sqref="B7">
      <formula1>"cooling only,reversible"</formula1>
    </dataValidation>
    <dataValidation type="list" allowBlank="1" showInputMessage="1" showErrorMessage="1" sqref="B6">
      <formula1>"outdoor air-to-water, water-to-water,brine-to-water,ground water-to-water,ground/brine-to-water"</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How to use the SGUE tool</vt:lpstr>
      <vt:lpstr>SGUEh water_based HP average</vt:lpstr>
      <vt:lpstr>SGUEh water_based HP colder</vt:lpstr>
      <vt:lpstr>SGUEh water_based HP warmer</vt:lpstr>
      <vt:lpstr>SGUEc_water_based HP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Patrizia Melograno</dc:creator>
  <cp:lastModifiedBy>mondot</cp:lastModifiedBy>
  <dcterms:created xsi:type="dcterms:W3CDTF">2020-03-17T10:43:14Z</dcterms:created>
  <dcterms:modified xsi:type="dcterms:W3CDTF">2020-07-22T07:16:00Z</dcterms:modified>
</cp:coreProperties>
</file>